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0" documentId="13_ncr:1_{E221E5ED-EF13-4217-B92C-73C15E468200}" xr6:coauthVersionLast="47" xr6:coauthVersionMax="47" xr10:uidLastSave="{00000000-0000-0000-0000-000000000000}"/>
  <bookViews>
    <workbookView xWindow="-110" yWindow="-110" windowWidth="19420" windowHeight="11500" xr2:uid="{02B5B075-8402-407B-9D9C-C10C1A356D13}"/>
  </bookViews>
  <sheets>
    <sheet name="歯科診療所" sheetId="1" r:id="rId1"/>
  </sheets>
  <definedNames>
    <definedName name="_xlnm._FilterDatabase" localSheetId="0" hidden="1">歯科診療所!$B$2:$O$2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F3" i="1"/>
  <c r="G3" i="1"/>
  <c r="H3" i="1"/>
  <c r="B4" i="1"/>
  <c r="C4" i="1"/>
  <c r="D4" i="1"/>
  <c r="F4" i="1"/>
  <c r="G4" i="1"/>
  <c r="H4" i="1"/>
  <c r="B5" i="1"/>
  <c r="C5" i="1"/>
  <c r="D5" i="1"/>
  <c r="F5" i="1"/>
  <c r="G5" i="1"/>
  <c r="H5" i="1"/>
  <c r="B6" i="1"/>
  <c r="C6" i="1"/>
  <c r="D6" i="1"/>
  <c r="F6" i="1"/>
  <c r="G6" i="1"/>
  <c r="H6" i="1"/>
  <c r="B7" i="1"/>
  <c r="C7" i="1"/>
  <c r="D7" i="1"/>
  <c r="F7" i="1"/>
  <c r="G7" i="1"/>
  <c r="H7" i="1"/>
  <c r="B8" i="1"/>
  <c r="C8" i="1"/>
  <c r="D8" i="1"/>
  <c r="F8" i="1"/>
  <c r="G8" i="1"/>
  <c r="H8" i="1"/>
  <c r="B9" i="1"/>
  <c r="C9" i="1"/>
  <c r="D9" i="1"/>
  <c r="F9" i="1"/>
  <c r="G9" i="1"/>
  <c r="H9" i="1"/>
  <c r="B10" i="1"/>
  <c r="C10" i="1"/>
  <c r="D10" i="1"/>
  <c r="F10" i="1"/>
  <c r="G10" i="1"/>
  <c r="H10" i="1"/>
  <c r="B11" i="1"/>
  <c r="C11" i="1"/>
  <c r="D11" i="1"/>
  <c r="F11" i="1"/>
  <c r="G11" i="1"/>
  <c r="H11" i="1"/>
  <c r="B12" i="1"/>
  <c r="C12" i="1"/>
  <c r="D12" i="1"/>
  <c r="F12" i="1"/>
  <c r="G12" i="1"/>
  <c r="H12" i="1"/>
  <c r="B13" i="1"/>
  <c r="C13" i="1"/>
  <c r="D13" i="1"/>
  <c r="F13" i="1"/>
  <c r="G13" i="1"/>
  <c r="H13" i="1"/>
  <c r="B14" i="1"/>
  <c r="C14" i="1"/>
  <c r="D14" i="1"/>
  <c r="F14" i="1"/>
  <c r="G14" i="1"/>
  <c r="H14" i="1"/>
  <c r="B15" i="1"/>
  <c r="C15" i="1"/>
  <c r="D15" i="1"/>
  <c r="F15" i="1"/>
  <c r="G15" i="1"/>
  <c r="H15" i="1"/>
  <c r="B16" i="1"/>
  <c r="C16" i="1"/>
  <c r="D16" i="1"/>
  <c r="F16" i="1"/>
  <c r="G16" i="1"/>
  <c r="H16" i="1"/>
  <c r="B17" i="1"/>
  <c r="C17" i="1"/>
  <c r="D17" i="1"/>
  <c r="F17" i="1"/>
  <c r="G17" i="1"/>
  <c r="H17" i="1"/>
  <c r="B18" i="1"/>
  <c r="C18" i="1"/>
  <c r="D18" i="1"/>
  <c r="F18" i="1"/>
  <c r="G18" i="1"/>
  <c r="H18" i="1"/>
  <c r="B19" i="1"/>
  <c r="C19" i="1"/>
  <c r="D19" i="1"/>
  <c r="F19" i="1"/>
  <c r="G19" i="1"/>
  <c r="H19" i="1"/>
  <c r="B20" i="1"/>
  <c r="C20" i="1"/>
  <c r="D20" i="1"/>
  <c r="F20" i="1"/>
  <c r="G20" i="1"/>
  <c r="H20" i="1"/>
  <c r="B21" i="1"/>
  <c r="C21" i="1"/>
  <c r="D21" i="1"/>
  <c r="F21" i="1"/>
  <c r="G21" i="1"/>
  <c r="H21" i="1"/>
  <c r="B22" i="1"/>
  <c r="C22" i="1"/>
  <c r="D22" i="1"/>
  <c r="F22" i="1"/>
  <c r="G22" i="1"/>
  <c r="H22" i="1"/>
  <c r="B23" i="1"/>
  <c r="C23" i="1"/>
  <c r="D23" i="1"/>
  <c r="F23" i="1"/>
  <c r="G23" i="1"/>
  <c r="H23" i="1"/>
  <c r="B24" i="1"/>
  <c r="C24" i="1"/>
  <c r="D24" i="1"/>
  <c r="F24" i="1"/>
  <c r="G24" i="1"/>
  <c r="H24" i="1"/>
  <c r="B25" i="1"/>
  <c r="C25" i="1"/>
  <c r="D25" i="1"/>
  <c r="F25" i="1"/>
  <c r="G25" i="1"/>
  <c r="H25" i="1"/>
  <c r="B26" i="1"/>
  <c r="C26" i="1"/>
  <c r="D26" i="1"/>
  <c r="F26" i="1"/>
  <c r="G26" i="1"/>
  <c r="H26" i="1"/>
  <c r="B27" i="1"/>
  <c r="C27" i="1"/>
  <c r="D27" i="1"/>
  <c r="F27" i="1"/>
  <c r="G27" i="1"/>
  <c r="H27" i="1"/>
  <c r="B28" i="1"/>
  <c r="C28" i="1"/>
  <c r="D28" i="1"/>
  <c r="F28" i="1"/>
  <c r="G28" i="1"/>
  <c r="H28" i="1"/>
  <c r="B29" i="1"/>
  <c r="C29" i="1"/>
  <c r="D29" i="1"/>
  <c r="F29" i="1"/>
  <c r="G29" i="1"/>
  <c r="H29" i="1"/>
  <c r="B30" i="1"/>
  <c r="C30" i="1"/>
  <c r="D30" i="1"/>
  <c r="F30" i="1"/>
  <c r="G30" i="1"/>
  <c r="H30" i="1"/>
  <c r="B31" i="1"/>
  <c r="C31" i="1"/>
  <c r="D31" i="1"/>
  <c r="F31" i="1"/>
  <c r="G31" i="1"/>
  <c r="H31" i="1"/>
  <c r="B32" i="1"/>
  <c r="C32" i="1"/>
  <c r="D32" i="1"/>
  <c r="F32" i="1"/>
  <c r="G32" i="1"/>
  <c r="H32" i="1"/>
  <c r="B33" i="1"/>
  <c r="C33" i="1"/>
  <c r="D33" i="1"/>
  <c r="F33" i="1"/>
  <c r="G33" i="1"/>
  <c r="H33" i="1"/>
  <c r="B34" i="1"/>
  <c r="C34" i="1"/>
  <c r="D34" i="1"/>
  <c r="F34" i="1"/>
  <c r="G34" i="1"/>
  <c r="H34" i="1"/>
  <c r="B35" i="1"/>
  <c r="C35" i="1"/>
  <c r="D35" i="1"/>
  <c r="F35" i="1"/>
  <c r="G35" i="1"/>
  <c r="H35" i="1"/>
  <c r="B36" i="1"/>
  <c r="C36" i="1"/>
  <c r="D36" i="1"/>
  <c r="F36" i="1"/>
  <c r="G36" i="1"/>
  <c r="H36" i="1"/>
  <c r="B37" i="1"/>
  <c r="C37" i="1"/>
  <c r="D37" i="1"/>
  <c r="F37" i="1"/>
  <c r="G37" i="1"/>
  <c r="H37" i="1"/>
  <c r="B38" i="1"/>
  <c r="C38" i="1"/>
  <c r="D38" i="1"/>
  <c r="F38" i="1"/>
  <c r="G38" i="1"/>
  <c r="H38" i="1"/>
  <c r="B39" i="1"/>
  <c r="C39" i="1"/>
  <c r="D39" i="1"/>
  <c r="F39" i="1"/>
  <c r="G39" i="1"/>
  <c r="H39" i="1"/>
  <c r="B40" i="1"/>
  <c r="C40" i="1"/>
  <c r="D40" i="1"/>
  <c r="F40" i="1"/>
  <c r="G40" i="1"/>
  <c r="H40" i="1"/>
  <c r="B41" i="1"/>
  <c r="C41" i="1"/>
  <c r="D41" i="1"/>
  <c r="F41" i="1"/>
  <c r="G41" i="1"/>
  <c r="H41" i="1"/>
  <c r="B42" i="1"/>
  <c r="C42" i="1"/>
  <c r="D42" i="1"/>
  <c r="F42" i="1"/>
  <c r="G42" i="1"/>
  <c r="H42" i="1"/>
  <c r="B43" i="1"/>
  <c r="C43" i="1"/>
  <c r="D43" i="1"/>
  <c r="F43" i="1"/>
  <c r="G43" i="1"/>
  <c r="H43" i="1"/>
  <c r="B44" i="1"/>
  <c r="C44" i="1"/>
  <c r="D44" i="1"/>
  <c r="F44" i="1"/>
  <c r="G44" i="1"/>
  <c r="H44" i="1"/>
  <c r="B45" i="1"/>
  <c r="C45" i="1"/>
  <c r="D45" i="1"/>
  <c r="F45" i="1"/>
  <c r="G45" i="1"/>
  <c r="H45" i="1"/>
  <c r="B46" i="1"/>
  <c r="C46" i="1"/>
  <c r="D46" i="1"/>
  <c r="F46" i="1"/>
  <c r="G46" i="1"/>
  <c r="H46" i="1"/>
  <c r="B47" i="1"/>
  <c r="C47" i="1"/>
  <c r="D47" i="1"/>
  <c r="F47" i="1"/>
  <c r="G47" i="1"/>
  <c r="H47" i="1"/>
  <c r="B48" i="1"/>
  <c r="C48" i="1"/>
  <c r="D48" i="1"/>
  <c r="F48" i="1"/>
  <c r="G48" i="1"/>
  <c r="H48" i="1"/>
  <c r="B49" i="1"/>
  <c r="C49" i="1"/>
  <c r="D49" i="1"/>
  <c r="F49" i="1"/>
  <c r="G49" i="1"/>
  <c r="H49" i="1"/>
  <c r="B50" i="1"/>
  <c r="C50" i="1"/>
  <c r="D50" i="1"/>
  <c r="F50" i="1"/>
  <c r="G50" i="1"/>
  <c r="H50" i="1"/>
  <c r="B51" i="1"/>
  <c r="C51" i="1"/>
  <c r="D51" i="1"/>
  <c r="F51" i="1"/>
  <c r="G51" i="1"/>
  <c r="H51" i="1"/>
  <c r="B52" i="1"/>
  <c r="C52" i="1"/>
  <c r="D52" i="1"/>
  <c r="F52" i="1"/>
  <c r="G52" i="1"/>
  <c r="H52" i="1"/>
  <c r="B53" i="1"/>
  <c r="C53" i="1"/>
  <c r="D53" i="1"/>
  <c r="F53" i="1"/>
  <c r="G53" i="1"/>
  <c r="H53" i="1"/>
  <c r="B54" i="1"/>
  <c r="C54" i="1"/>
  <c r="D54" i="1"/>
  <c r="F54" i="1"/>
  <c r="G54" i="1"/>
  <c r="H54" i="1"/>
  <c r="B55" i="1"/>
  <c r="C55" i="1"/>
  <c r="D55" i="1"/>
  <c r="F55" i="1"/>
  <c r="G55" i="1"/>
  <c r="H55" i="1"/>
  <c r="B56" i="1"/>
  <c r="C56" i="1"/>
  <c r="D56" i="1"/>
  <c r="F56" i="1"/>
  <c r="G56" i="1"/>
  <c r="H56" i="1"/>
  <c r="B57" i="1"/>
  <c r="C57" i="1"/>
  <c r="D57" i="1"/>
  <c r="F57" i="1"/>
  <c r="G57" i="1"/>
  <c r="H57" i="1"/>
  <c r="B58" i="1"/>
  <c r="C58" i="1"/>
  <c r="D58" i="1"/>
  <c r="F58" i="1"/>
  <c r="G58" i="1"/>
  <c r="H58" i="1"/>
  <c r="B59" i="1"/>
  <c r="C59" i="1"/>
  <c r="D59" i="1"/>
  <c r="F59" i="1"/>
  <c r="G59" i="1"/>
  <c r="H59" i="1"/>
  <c r="B60" i="1"/>
  <c r="C60" i="1"/>
  <c r="D60" i="1"/>
  <c r="F60" i="1"/>
  <c r="G60" i="1"/>
  <c r="H60" i="1"/>
  <c r="B61" i="1"/>
  <c r="C61" i="1"/>
  <c r="D61" i="1"/>
  <c r="F61" i="1"/>
  <c r="G61" i="1"/>
  <c r="H61" i="1"/>
  <c r="B62" i="1"/>
  <c r="C62" i="1"/>
  <c r="D62" i="1"/>
  <c r="F62" i="1"/>
  <c r="G62" i="1"/>
  <c r="H62" i="1"/>
  <c r="B63" i="1"/>
  <c r="C63" i="1"/>
  <c r="D63" i="1"/>
  <c r="F63" i="1"/>
  <c r="G63" i="1"/>
  <c r="H63" i="1"/>
  <c r="B64" i="1"/>
  <c r="C64" i="1"/>
  <c r="D64" i="1"/>
  <c r="F64" i="1"/>
  <c r="G64" i="1"/>
  <c r="H64" i="1"/>
  <c r="B65" i="1"/>
  <c r="C65" i="1"/>
  <c r="D65" i="1"/>
  <c r="F65" i="1"/>
  <c r="G65" i="1"/>
  <c r="H65" i="1"/>
  <c r="B66" i="1"/>
  <c r="C66" i="1"/>
  <c r="D66" i="1"/>
  <c r="F66" i="1"/>
  <c r="G66" i="1"/>
  <c r="H66" i="1"/>
  <c r="B67" i="1"/>
  <c r="C67" i="1"/>
  <c r="D67" i="1"/>
  <c r="F67" i="1"/>
  <c r="G67" i="1"/>
  <c r="H67" i="1"/>
  <c r="B68" i="1"/>
  <c r="C68" i="1"/>
  <c r="D68" i="1"/>
  <c r="F68" i="1"/>
  <c r="G68" i="1"/>
  <c r="H68" i="1"/>
  <c r="B69" i="1"/>
  <c r="C69" i="1"/>
  <c r="D69" i="1"/>
  <c r="F69" i="1"/>
  <c r="G69" i="1"/>
  <c r="H69" i="1"/>
  <c r="B70" i="1"/>
  <c r="C70" i="1"/>
  <c r="D70" i="1"/>
  <c r="F70" i="1"/>
  <c r="G70" i="1"/>
  <c r="H70" i="1"/>
  <c r="B71" i="1"/>
  <c r="C71" i="1"/>
  <c r="D71" i="1"/>
  <c r="F71" i="1"/>
  <c r="G71" i="1"/>
  <c r="H71" i="1"/>
  <c r="B72" i="1"/>
  <c r="C72" i="1"/>
  <c r="D72" i="1"/>
  <c r="F72" i="1"/>
  <c r="G72" i="1"/>
  <c r="H72" i="1"/>
  <c r="B73" i="1"/>
  <c r="C73" i="1"/>
  <c r="D73" i="1"/>
  <c r="F73" i="1"/>
  <c r="G73" i="1"/>
  <c r="H73" i="1"/>
  <c r="B74" i="1"/>
  <c r="C74" i="1"/>
  <c r="D74" i="1"/>
  <c r="F74" i="1"/>
  <c r="G74" i="1"/>
  <c r="H74" i="1"/>
  <c r="B75" i="1"/>
  <c r="C75" i="1"/>
  <c r="D75" i="1"/>
  <c r="F75" i="1"/>
  <c r="G75" i="1"/>
  <c r="H75" i="1"/>
  <c r="B76" i="1"/>
  <c r="C76" i="1"/>
  <c r="D76" i="1"/>
  <c r="F76" i="1"/>
  <c r="G76" i="1"/>
  <c r="H76" i="1"/>
  <c r="B77" i="1"/>
  <c r="C77" i="1"/>
  <c r="D77" i="1"/>
  <c r="F77" i="1"/>
  <c r="G77" i="1"/>
  <c r="H77" i="1"/>
  <c r="B78" i="1"/>
  <c r="C78" i="1"/>
  <c r="D78" i="1"/>
  <c r="F78" i="1"/>
  <c r="G78" i="1"/>
  <c r="H78" i="1"/>
  <c r="B79" i="1"/>
  <c r="C79" i="1"/>
  <c r="D79" i="1"/>
  <c r="F79" i="1"/>
  <c r="G79" i="1"/>
  <c r="H79" i="1"/>
  <c r="B80" i="1"/>
  <c r="C80" i="1"/>
  <c r="D80" i="1"/>
  <c r="F80" i="1"/>
  <c r="G80" i="1"/>
  <c r="H80" i="1"/>
  <c r="B81" i="1"/>
  <c r="C81" i="1"/>
  <c r="D81" i="1"/>
  <c r="F81" i="1"/>
  <c r="G81" i="1"/>
  <c r="H81" i="1"/>
  <c r="B82" i="1"/>
  <c r="C82" i="1"/>
  <c r="D82" i="1"/>
  <c r="F82" i="1"/>
  <c r="G82" i="1"/>
  <c r="H82" i="1"/>
  <c r="B83" i="1"/>
  <c r="C83" i="1"/>
  <c r="D83" i="1"/>
  <c r="F83" i="1"/>
  <c r="G83" i="1"/>
  <c r="H83" i="1"/>
  <c r="B84" i="1"/>
  <c r="C84" i="1"/>
  <c r="D84" i="1"/>
  <c r="F84" i="1"/>
  <c r="G84" i="1"/>
  <c r="H84" i="1"/>
  <c r="B85" i="1"/>
  <c r="C85" i="1"/>
  <c r="D85" i="1"/>
  <c r="F85" i="1"/>
  <c r="G85" i="1"/>
  <c r="H85" i="1"/>
  <c r="B86" i="1"/>
  <c r="C86" i="1"/>
  <c r="D86" i="1"/>
  <c r="F86" i="1"/>
  <c r="G86" i="1"/>
  <c r="H86" i="1"/>
  <c r="B87" i="1"/>
  <c r="C87" i="1"/>
  <c r="D87" i="1"/>
  <c r="F87" i="1"/>
  <c r="G87" i="1"/>
  <c r="H87" i="1"/>
  <c r="B88" i="1"/>
  <c r="C88" i="1"/>
  <c r="D88" i="1"/>
  <c r="F88" i="1"/>
  <c r="G88" i="1"/>
  <c r="H88" i="1"/>
  <c r="B89" i="1"/>
  <c r="C89" i="1"/>
  <c r="D89" i="1"/>
  <c r="F89" i="1"/>
  <c r="G89" i="1"/>
  <c r="H89" i="1"/>
  <c r="B90" i="1"/>
  <c r="C90" i="1"/>
  <c r="D90" i="1"/>
  <c r="F90" i="1"/>
  <c r="G90" i="1"/>
  <c r="H90" i="1"/>
  <c r="B91" i="1"/>
  <c r="C91" i="1"/>
  <c r="D91" i="1"/>
  <c r="F91" i="1"/>
  <c r="G91" i="1"/>
  <c r="H91" i="1"/>
  <c r="B92" i="1"/>
  <c r="C92" i="1"/>
  <c r="D92" i="1"/>
  <c r="F92" i="1"/>
  <c r="G92" i="1"/>
  <c r="H92" i="1"/>
  <c r="B93" i="1"/>
  <c r="C93" i="1"/>
  <c r="D93" i="1"/>
  <c r="F93" i="1"/>
  <c r="G93" i="1"/>
  <c r="H93" i="1"/>
  <c r="B94" i="1"/>
  <c r="C94" i="1"/>
  <c r="D94" i="1"/>
  <c r="F94" i="1"/>
  <c r="G94" i="1"/>
  <c r="H94" i="1"/>
  <c r="B95" i="1"/>
  <c r="C95" i="1"/>
  <c r="D95" i="1"/>
  <c r="F95" i="1"/>
  <c r="G95" i="1"/>
  <c r="H95" i="1"/>
  <c r="B96" i="1"/>
  <c r="C96" i="1"/>
  <c r="D96" i="1"/>
  <c r="F96" i="1"/>
  <c r="G96" i="1"/>
  <c r="H96" i="1"/>
  <c r="B97" i="1"/>
  <c r="C97" i="1"/>
  <c r="D97" i="1"/>
  <c r="F97" i="1"/>
  <c r="G97" i="1"/>
  <c r="H97" i="1"/>
  <c r="B98" i="1"/>
  <c r="C98" i="1"/>
  <c r="D98" i="1"/>
  <c r="F98" i="1"/>
  <c r="G98" i="1"/>
  <c r="H98" i="1"/>
  <c r="B99" i="1"/>
  <c r="C99" i="1"/>
  <c r="D99" i="1"/>
  <c r="F99" i="1"/>
  <c r="G99" i="1"/>
  <c r="H99" i="1"/>
  <c r="B100" i="1"/>
  <c r="C100" i="1"/>
  <c r="D100" i="1"/>
  <c r="F100" i="1"/>
  <c r="G100" i="1"/>
  <c r="H100" i="1"/>
  <c r="B101" i="1"/>
  <c r="C101" i="1"/>
  <c r="D101" i="1"/>
  <c r="F101" i="1"/>
  <c r="G101" i="1"/>
  <c r="H101" i="1"/>
  <c r="B102" i="1"/>
  <c r="C102" i="1"/>
  <c r="D102" i="1"/>
  <c r="F102" i="1"/>
  <c r="G102" i="1"/>
  <c r="H102" i="1"/>
  <c r="B103" i="1"/>
  <c r="C103" i="1"/>
  <c r="D103" i="1"/>
  <c r="F103" i="1"/>
  <c r="G103" i="1"/>
  <c r="H103" i="1"/>
  <c r="B104" i="1"/>
  <c r="C104" i="1"/>
  <c r="D104" i="1"/>
  <c r="F104" i="1"/>
  <c r="G104" i="1"/>
  <c r="H104" i="1"/>
  <c r="B105" i="1"/>
  <c r="C105" i="1"/>
  <c r="D105" i="1"/>
  <c r="F105" i="1"/>
  <c r="G105" i="1"/>
  <c r="H105" i="1"/>
  <c r="B106" i="1"/>
  <c r="C106" i="1"/>
  <c r="D106" i="1"/>
  <c r="F106" i="1"/>
  <c r="G106" i="1"/>
  <c r="H106" i="1"/>
  <c r="B107" i="1"/>
  <c r="C107" i="1"/>
  <c r="D107" i="1"/>
  <c r="F107" i="1"/>
  <c r="G107" i="1"/>
  <c r="H107" i="1"/>
  <c r="B108" i="1"/>
  <c r="C108" i="1"/>
  <c r="D108" i="1"/>
  <c r="F108" i="1"/>
  <c r="G108" i="1"/>
  <c r="H108" i="1"/>
  <c r="B109" i="1"/>
  <c r="C109" i="1"/>
  <c r="D109" i="1"/>
  <c r="F109" i="1"/>
  <c r="G109" i="1"/>
  <c r="H109" i="1"/>
  <c r="B110" i="1"/>
  <c r="C110" i="1"/>
  <c r="D110" i="1"/>
  <c r="F110" i="1"/>
  <c r="G110" i="1"/>
  <c r="H110" i="1"/>
  <c r="B111" i="1"/>
  <c r="C111" i="1"/>
  <c r="D111" i="1"/>
  <c r="F111" i="1"/>
  <c r="G111" i="1"/>
  <c r="H111" i="1"/>
  <c r="B112" i="1"/>
  <c r="C112" i="1"/>
  <c r="D112" i="1"/>
  <c r="F112" i="1"/>
  <c r="G112" i="1"/>
  <c r="H112" i="1"/>
  <c r="B113" i="1"/>
  <c r="C113" i="1"/>
  <c r="D113" i="1"/>
  <c r="F113" i="1"/>
  <c r="G113" i="1"/>
  <c r="H113" i="1"/>
  <c r="B114" i="1"/>
  <c r="C114" i="1"/>
  <c r="D114" i="1"/>
  <c r="F114" i="1"/>
  <c r="G114" i="1"/>
  <c r="H114" i="1"/>
  <c r="B115" i="1"/>
  <c r="C115" i="1"/>
  <c r="D115" i="1"/>
  <c r="F115" i="1"/>
  <c r="G115" i="1"/>
  <c r="H115" i="1"/>
  <c r="B116" i="1"/>
  <c r="C116" i="1"/>
  <c r="D116" i="1"/>
  <c r="F116" i="1"/>
  <c r="G116" i="1"/>
  <c r="H116" i="1"/>
  <c r="B117" i="1"/>
  <c r="C117" i="1"/>
  <c r="D117" i="1"/>
  <c r="F117" i="1"/>
  <c r="G117" i="1"/>
  <c r="H117" i="1"/>
  <c r="B118" i="1"/>
  <c r="C118" i="1"/>
  <c r="D118" i="1"/>
  <c r="F118" i="1"/>
  <c r="G118" i="1"/>
  <c r="H118" i="1"/>
  <c r="B119" i="1"/>
  <c r="C119" i="1"/>
  <c r="D119" i="1"/>
  <c r="F119" i="1"/>
  <c r="G119" i="1"/>
  <c r="H119" i="1"/>
  <c r="B120" i="1"/>
  <c r="C120" i="1"/>
  <c r="D120" i="1"/>
  <c r="F120" i="1"/>
  <c r="G120" i="1"/>
  <c r="H120" i="1"/>
  <c r="B121" i="1"/>
  <c r="C121" i="1"/>
  <c r="D121" i="1"/>
  <c r="F121" i="1"/>
  <c r="G121" i="1"/>
  <c r="H121" i="1"/>
  <c r="B122" i="1"/>
  <c r="C122" i="1"/>
  <c r="D122" i="1"/>
  <c r="F122" i="1"/>
  <c r="G122" i="1"/>
  <c r="H122" i="1"/>
  <c r="B123" i="1"/>
  <c r="C123" i="1"/>
  <c r="D123" i="1"/>
  <c r="F123" i="1"/>
  <c r="G123" i="1"/>
  <c r="H123" i="1"/>
  <c r="B124" i="1"/>
  <c r="C124" i="1"/>
  <c r="D124" i="1"/>
  <c r="F124" i="1"/>
  <c r="G124" i="1"/>
  <c r="H124" i="1"/>
  <c r="B125" i="1"/>
  <c r="C125" i="1"/>
  <c r="D125" i="1"/>
  <c r="F125" i="1"/>
  <c r="G125" i="1"/>
  <c r="H125" i="1"/>
  <c r="B126" i="1"/>
  <c r="C126" i="1"/>
  <c r="D126" i="1"/>
  <c r="F126" i="1"/>
  <c r="G126" i="1"/>
  <c r="H126" i="1"/>
  <c r="B127" i="1"/>
  <c r="C127" i="1"/>
  <c r="D127" i="1"/>
  <c r="F127" i="1"/>
  <c r="G127" i="1"/>
  <c r="H127" i="1"/>
  <c r="B128" i="1"/>
  <c r="C128" i="1"/>
  <c r="D128" i="1"/>
  <c r="F128" i="1"/>
  <c r="G128" i="1"/>
  <c r="H128" i="1"/>
  <c r="B129" i="1"/>
  <c r="C129" i="1"/>
  <c r="D129" i="1"/>
  <c r="F129" i="1"/>
  <c r="G129" i="1"/>
  <c r="H129" i="1"/>
  <c r="B130" i="1"/>
  <c r="C130" i="1"/>
  <c r="D130" i="1"/>
  <c r="F130" i="1"/>
  <c r="G130" i="1"/>
  <c r="H130" i="1"/>
  <c r="B131" i="1"/>
  <c r="C131" i="1"/>
  <c r="D131" i="1"/>
  <c r="F131" i="1"/>
  <c r="G131" i="1"/>
  <c r="H131" i="1"/>
  <c r="B132" i="1"/>
  <c r="C132" i="1"/>
  <c r="D132" i="1"/>
  <c r="F132" i="1"/>
  <c r="G132" i="1"/>
  <c r="H132" i="1"/>
  <c r="B133" i="1"/>
  <c r="C133" i="1"/>
  <c r="D133" i="1"/>
  <c r="F133" i="1"/>
  <c r="G133" i="1"/>
  <c r="H133" i="1"/>
  <c r="B134" i="1"/>
  <c r="C134" i="1"/>
  <c r="D134" i="1"/>
  <c r="F134" i="1"/>
  <c r="G134" i="1"/>
  <c r="H134" i="1"/>
  <c r="B135" i="1"/>
  <c r="C135" i="1"/>
  <c r="D135" i="1"/>
  <c r="F135" i="1"/>
  <c r="G135" i="1"/>
  <c r="H135" i="1"/>
  <c r="B136" i="1"/>
  <c r="C136" i="1"/>
  <c r="D136" i="1"/>
  <c r="F136" i="1"/>
  <c r="G136" i="1"/>
  <c r="H136" i="1"/>
  <c r="B137" i="1"/>
  <c r="C137" i="1"/>
  <c r="D137" i="1"/>
  <c r="F137" i="1"/>
  <c r="G137" i="1"/>
  <c r="H137" i="1"/>
  <c r="B138" i="1"/>
  <c r="C138" i="1"/>
  <c r="D138" i="1"/>
  <c r="F138" i="1"/>
  <c r="G138" i="1"/>
  <c r="H138" i="1"/>
  <c r="B139" i="1"/>
  <c r="C139" i="1"/>
  <c r="D139" i="1"/>
  <c r="F139" i="1"/>
  <c r="G139" i="1"/>
  <c r="H139" i="1"/>
  <c r="B140" i="1"/>
  <c r="C140" i="1"/>
  <c r="D140" i="1"/>
  <c r="F140" i="1"/>
  <c r="G140" i="1"/>
  <c r="H140" i="1"/>
  <c r="B141" i="1"/>
  <c r="C141" i="1"/>
  <c r="D141" i="1"/>
  <c r="F141" i="1"/>
  <c r="G141" i="1"/>
  <c r="H141" i="1"/>
  <c r="B142" i="1"/>
  <c r="C142" i="1"/>
  <c r="D142" i="1"/>
  <c r="F142" i="1"/>
  <c r="G142" i="1"/>
  <c r="H142" i="1"/>
  <c r="B143" i="1"/>
  <c r="C143" i="1"/>
  <c r="D143" i="1"/>
  <c r="F143" i="1"/>
  <c r="G143" i="1"/>
  <c r="H143" i="1"/>
  <c r="B144" i="1"/>
  <c r="C144" i="1"/>
  <c r="D144" i="1"/>
  <c r="F144" i="1"/>
  <c r="G144" i="1"/>
  <c r="H144" i="1"/>
  <c r="B145" i="1"/>
  <c r="C145" i="1"/>
  <c r="D145" i="1"/>
  <c r="F145" i="1"/>
  <c r="G145" i="1"/>
  <c r="H145" i="1"/>
  <c r="B146" i="1"/>
  <c r="C146" i="1"/>
  <c r="D146" i="1"/>
  <c r="F146" i="1"/>
  <c r="G146" i="1"/>
  <c r="H146" i="1"/>
  <c r="B147" i="1"/>
  <c r="C147" i="1"/>
  <c r="D147" i="1"/>
  <c r="F147" i="1"/>
  <c r="G147" i="1"/>
  <c r="H147" i="1"/>
  <c r="B148" i="1"/>
  <c r="C148" i="1"/>
  <c r="D148" i="1"/>
  <c r="F148" i="1"/>
  <c r="G148" i="1"/>
  <c r="H148" i="1"/>
  <c r="B149" i="1"/>
  <c r="C149" i="1"/>
  <c r="D149" i="1"/>
  <c r="F149" i="1"/>
  <c r="G149" i="1"/>
  <c r="H149" i="1"/>
  <c r="B150" i="1"/>
  <c r="C150" i="1"/>
  <c r="D150" i="1"/>
  <c r="F150" i="1"/>
  <c r="G150" i="1"/>
  <c r="H150" i="1"/>
  <c r="B151" i="1"/>
  <c r="C151" i="1"/>
  <c r="D151" i="1"/>
  <c r="F151" i="1"/>
  <c r="G151" i="1"/>
  <c r="H151" i="1"/>
  <c r="B152" i="1"/>
  <c r="C152" i="1"/>
  <c r="D152" i="1"/>
  <c r="F152" i="1"/>
  <c r="G152" i="1"/>
  <c r="H152" i="1"/>
  <c r="B153" i="1"/>
  <c r="C153" i="1"/>
  <c r="D153" i="1"/>
  <c r="F153" i="1"/>
  <c r="G153" i="1"/>
  <c r="H153" i="1"/>
  <c r="B154" i="1"/>
  <c r="C154" i="1"/>
  <c r="D154" i="1"/>
  <c r="F154" i="1"/>
  <c r="G154" i="1"/>
  <c r="H154" i="1"/>
  <c r="B155" i="1"/>
  <c r="C155" i="1"/>
  <c r="D155" i="1"/>
  <c r="F155" i="1"/>
  <c r="G155" i="1"/>
  <c r="H155" i="1"/>
  <c r="B156" i="1"/>
  <c r="C156" i="1"/>
  <c r="D156" i="1"/>
  <c r="F156" i="1"/>
  <c r="G156" i="1"/>
  <c r="H156" i="1"/>
  <c r="B157" i="1"/>
  <c r="C157" i="1"/>
  <c r="D157" i="1"/>
  <c r="F157" i="1"/>
  <c r="G157" i="1"/>
  <c r="H157" i="1"/>
  <c r="B158" i="1"/>
  <c r="C158" i="1"/>
  <c r="D158" i="1"/>
  <c r="F158" i="1"/>
  <c r="G158" i="1"/>
  <c r="H158" i="1"/>
  <c r="B159" i="1"/>
  <c r="C159" i="1"/>
  <c r="D159" i="1"/>
  <c r="F159" i="1"/>
  <c r="G159" i="1"/>
  <c r="H159" i="1"/>
  <c r="B160" i="1"/>
  <c r="C160" i="1"/>
  <c r="D160" i="1"/>
  <c r="F160" i="1"/>
  <c r="G160" i="1"/>
  <c r="H160" i="1"/>
  <c r="B161" i="1"/>
  <c r="C161" i="1"/>
  <c r="D161" i="1"/>
  <c r="F161" i="1"/>
  <c r="G161" i="1"/>
  <c r="H161" i="1"/>
  <c r="B162" i="1"/>
  <c r="C162" i="1"/>
  <c r="D162" i="1"/>
  <c r="F162" i="1"/>
  <c r="G162" i="1"/>
  <c r="H162" i="1"/>
  <c r="B163" i="1"/>
  <c r="C163" i="1"/>
  <c r="D163" i="1"/>
  <c r="F163" i="1"/>
  <c r="G163" i="1"/>
  <c r="H163" i="1"/>
  <c r="B164" i="1"/>
  <c r="C164" i="1"/>
  <c r="D164" i="1"/>
  <c r="F164" i="1"/>
  <c r="G164" i="1"/>
  <c r="H164" i="1"/>
  <c r="B165" i="1"/>
  <c r="C165" i="1"/>
  <c r="D165" i="1"/>
  <c r="F165" i="1"/>
  <c r="G165" i="1"/>
  <c r="H165" i="1"/>
  <c r="B166" i="1"/>
  <c r="C166" i="1"/>
  <c r="D166" i="1"/>
  <c r="F166" i="1"/>
  <c r="G166" i="1"/>
  <c r="H166" i="1"/>
  <c r="B167" i="1"/>
  <c r="C167" i="1"/>
  <c r="D167" i="1"/>
  <c r="F167" i="1"/>
  <c r="G167" i="1"/>
  <c r="H167" i="1"/>
  <c r="B168" i="1"/>
  <c r="C168" i="1"/>
  <c r="D168" i="1"/>
  <c r="F168" i="1"/>
  <c r="G168" i="1"/>
  <c r="H168" i="1"/>
  <c r="B169" i="1"/>
  <c r="C169" i="1"/>
  <c r="D169" i="1"/>
  <c r="F169" i="1"/>
  <c r="G169" i="1"/>
  <c r="H169" i="1"/>
  <c r="B170" i="1"/>
  <c r="C170" i="1"/>
  <c r="D170" i="1"/>
  <c r="F170" i="1"/>
  <c r="G170" i="1"/>
  <c r="H170" i="1"/>
  <c r="B171" i="1"/>
  <c r="C171" i="1"/>
  <c r="D171" i="1"/>
  <c r="F171" i="1"/>
  <c r="G171" i="1"/>
  <c r="H171" i="1"/>
  <c r="B172" i="1"/>
  <c r="C172" i="1"/>
  <c r="D172" i="1"/>
  <c r="F172" i="1"/>
  <c r="G172" i="1"/>
  <c r="H172" i="1"/>
  <c r="B173" i="1"/>
  <c r="C173" i="1"/>
  <c r="D173" i="1"/>
  <c r="F173" i="1"/>
  <c r="G173" i="1"/>
  <c r="H173" i="1"/>
  <c r="B174" i="1"/>
  <c r="C174" i="1"/>
  <c r="D174" i="1"/>
  <c r="F174" i="1"/>
  <c r="G174" i="1"/>
  <c r="H174" i="1"/>
  <c r="B175" i="1"/>
  <c r="C175" i="1"/>
  <c r="D175" i="1"/>
  <c r="F175" i="1"/>
  <c r="G175" i="1"/>
  <c r="H175" i="1"/>
  <c r="B176" i="1"/>
  <c r="C176" i="1"/>
  <c r="D176" i="1"/>
  <c r="F176" i="1"/>
  <c r="G176" i="1"/>
  <c r="H176" i="1"/>
  <c r="B177" i="1"/>
  <c r="C177" i="1"/>
  <c r="D177" i="1"/>
  <c r="F177" i="1"/>
  <c r="G177" i="1"/>
  <c r="H177" i="1"/>
  <c r="B178" i="1"/>
  <c r="C178" i="1"/>
  <c r="D178" i="1"/>
  <c r="F178" i="1"/>
  <c r="G178" i="1"/>
  <c r="H178" i="1"/>
  <c r="B179" i="1"/>
  <c r="C179" i="1"/>
  <c r="D179" i="1"/>
  <c r="F179" i="1"/>
  <c r="G179" i="1"/>
  <c r="H179" i="1"/>
  <c r="B180" i="1"/>
  <c r="C180" i="1"/>
  <c r="D180" i="1"/>
  <c r="F180" i="1"/>
  <c r="G180" i="1"/>
  <c r="H180" i="1"/>
  <c r="B181" i="1"/>
  <c r="C181" i="1"/>
  <c r="D181" i="1"/>
  <c r="F181" i="1"/>
  <c r="G181" i="1"/>
  <c r="H181" i="1"/>
  <c r="B182" i="1"/>
  <c r="C182" i="1"/>
  <c r="D182" i="1"/>
  <c r="F182" i="1"/>
  <c r="G182" i="1"/>
  <c r="H182" i="1"/>
  <c r="B183" i="1"/>
  <c r="C183" i="1"/>
  <c r="D183" i="1"/>
  <c r="F183" i="1"/>
  <c r="G183" i="1"/>
  <c r="H183" i="1"/>
  <c r="B184" i="1"/>
  <c r="C184" i="1"/>
  <c r="D184" i="1"/>
  <c r="F184" i="1"/>
  <c r="G184" i="1"/>
  <c r="H184" i="1"/>
  <c r="B185" i="1"/>
  <c r="C185" i="1"/>
  <c r="D185" i="1"/>
  <c r="F185" i="1"/>
  <c r="G185" i="1"/>
  <c r="H185" i="1"/>
  <c r="B186" i="1"/>
  <c r="C186" i="1"/>
  <c r="D186" i="1"/>
  <c r="F186" i="1"/>
  <c r="G186" i="1"/>
  <c r="H186" i="1"/>
  <c r="B187" i="1"/>
  <c r="C187" i="1"/>
  <c r="D187" i="1"/>
  <c r="F187" i="1"/>
  <c r="G187" i="1"/>
  <c r="H187" i="1"/>
  <c r="B188" i="1"/>
  <c r="C188" i="1"/>
  <c r="D188" i="1"/>
  <c r="F188" i="1"/>
  <c r="G188" i="1"/>
  <c r="H188" i="1"/>
  <c r="B189" i="1"/>
  <c r="C189" i="1"/>
  <c r="D189" i="1"/>
  <c r="F189" i="1"/>
  <c r="G189" i="1"/>
  <c r="H189" i="1"/>
  <c r="B190" i="1"/>
  <c r="C190" i="1"/>
  <c r="D190" i="1"/>
  <c r="F190" i="1"/>
  <c r="G190" i="1"/>
  <c r="H190" i="1"/>
  <c r="B191" i="1"/>
  <c r="C191" i="1"/>
  <c r="D191" i="1"/>
  <c r="F191" i="1"/>
  <c r="G191" i="1"/>
  <c r="H191" i="1"/>
  <c r="B192" i="1"/>
  <c r="C192" i="1"/>
  <c r="D192" i="1"/>
  <c r="F192" i="1"/>
  <c r="G192" i="1"/>
  <c r="H192" i="1"/>
  <c r="B193" i="1"/>
  <c r="C193" i="1"/>
  <c r="D193" i="1"/>
  <c r="F193" i="1"/>
  <c r="G193" i="1"/>
  <c r="H193" i="1"/>
  <c r="B194" i="1"/>
  <c r="C194" i="1"/>
  <c r="D194" i="1"/>
  <c r="F194" i="1"/>
  <c r="G194" i="1"/>
  <c r="H194" i="1"/>
  <c r="B195" i="1"/>
  <c r="C195" i="1"/>
  <c r="D195" i="1"/>
  <c r="F195" i="1"/>
  <c r="G195" i="1"/>
  <c r="H195" i="1"/>
  <c r="B196" i="1"/>
  <c r="C196" i="1"/>
  <c r="D196" i="1"/>
  <c r="F196" i="1"/>
  <c r="G196" i="1"/>
  <c r="H196" i="1"/>
  <c r="B197" i="1"/>
  <c r="C197" i="1"/>
  <c r="D197" i="1"/>
  <c r="F197" i="1"/>
  <c r="G197" i="1"/>
  <c r="H197" i="1"/>
  <c r="B198" i="1"/>
  <c r="C198" i="1"/>
  <c r="D198" i="1"/>
  <c r="F198" i="1"/>
  <c r="G198" i="1"/>
  <c r="H198" i="1"/>
  <c r="B199" i="1"/>
  <c r="C199" i="1"/>
  <c r="D199" i="1"/>
  <c r="F199" i="1"/>
  <c r="G199" i="1"/>
  <c r="H199" i="1"/>
  <c r="B200" i="1"/>
  <c r="C200" i="1"/>
  <c r="D200" i="1"/>
  <c r="F200" i="1"/>
  <c r="G200" i="1"/>
  <c r="H200" i="1"/>
  <c r="B201" i="1"/>
  <c r="C201" i="1"/>
  <c r="D201" i="1"/>
  <c r="F201" i="1"/>
  <c r="G201" i="1"/>
  <c r="H201" i="1"/>
  <c r="B202" i="1"/>
  <c r="C202" i="1"/>
  <c r="D202" i="1"/>
  <c r="F202" i="1"/>
  <c r="G202" i="1"/>
  <c r="H202" i="1"/>
  <c r="B203" i="1"/>
  <c r="C203" i="1"/>
  <c r="D203" i="1"/>
  <c r="F203" i="1"/>
  <c r="G203" i="1"/>
  <c r="H203" i="1"/>
  <c r="B204" i="1"/>
  <c r="C204" i="1"/>
  <c r="D204" i="1"/>
  <c r="F204" i="1"/>
  <c r="G204" i="1"/>
  <c r="H204" i="1"/>
  <c r="B205" i="1"/>
  <c r="C205" i="1"/>
  <c r="D205" i="1"/>
  <c r="F205" i="1"/>
  <c r="G205" i="1"/>
  <c r="H205" i="1"/>
  <c r="B206" i="1"/>
  <c r="C206" i="1"/>
  <c r="D206" i="1"/>
  <c r="F206" i="1"/>
  <c r="G206" i="1"/>
  <c r="H206" i="1"/>
  <c r="B207" i="1"/>
  <c r="C207" i="1"/>
  <c r="D207" i="1"/>
  <c r="F207" i="1"/>
  <c r="G207" i="1"/>
  <c r="H207" i="1"/>
  <c r="B208" i="1"/>
  <c r="C208" i="1"/>
  <c r="D208" i="1"/>
  <c r="F208" i="1"/>
  <c r="G208" i="1"/>
  <c r="H208" i="1"/>
  <c r="B209" i="1"/>
  <c r="C209" i="1"/>
  <c r="D209" i="1"/>
  <c r="F209" i="1"/>
  <c r="G209" i="1"/>
  <c r="H209" i="1"/>
  <c r="B210" i="1"/>
  <c r="C210" i="1"/>
  <c r="D210" i="1"/>
  <c r="F210" i="1"/>
  <c r="G210" i="1"/>
  <c r="H210" i="1"/>
  <c r="B211" i="1"/>
  <c r="C211" i="1"/>
  <c r="D211" i="1"/>
  <c r="F211" i="1"/>
  <c r="G211" i="1"/>
  <c r="H211" i="1"/>
  <c r="B212" i="1"/>
  <c r="C212" i="1"/>
  <c r="D212" i="1"/>
  <c r="F212" i="1"/>
  <c r="G212" i="1"/>
  <c r="H212" i="1"/>
  <c r="B213" i="1"/>
  <c r="C213" i="1"/>
  <c r="D213" i="1"/>
  <c r="F213" i="1"/>
  <c r="G213" i="1"/>
  <c r="H213" i="1"/>
  <c r="B214" i="1"/>
  <c r="C214" i="1"/>
  <c r="D214" i="1"/>
  <c r="F214" i="1"/>
  <c r="G214" i="1"/>
  <c r="H214" i="1"/>
  <c r="B215" i="1"/>
  <c r="C215" i="1"/>
  <c r="D215" i="1"/>
  <c r="F215" i="1"/>
  <c r="G215" i="1"/>
  <c r="H215" i="1"/>
  <c r="B216" i="1"/>
  <c r="C216" i="1"/>
  <c r="D216" i="1"/>
  <c r="F216" i="1"/>
  <c r="G216" i="1"/>
  <c r="H216" i="1"/>
  <c r="B217" i="1"/>
  <c r="C217" i="1"/>
  <c r="D217" i="1"/>
  <c r="F217" i="1"/>
  <c r="G217" i="1"/>
  <c r="H217" i="1"/>
  <c r="B218" i="1"/>
  <c r="C218" i="1"/>
  <c r="D218" i="1"/>
  <c r="F218" i="1"/>
  <c r="G218" i="1"/>
  <c r="H218" i="1"/>
  <c r="B219" i="1"/>
  <c r="C219" i="1"/>
  <c r="D219" i="1"/>
  <c r="F219" i="1"/>
  <c r="G219" i="1"/>
  <c r="H219" i="1"/>
  <c r="B220" i="1"/>
  <c r="C220" i="1"/>
  <c r="D220" i="1"/>
  <c r="F220" i="1"/>
  <c r="G220" i="1"/>
  <c r="H220" i="1"/>
  <c r="B221" i="1"/>
  <c r="C221" i="1"/>
  <c r="D221" i="1"/>
  <c r="F221" i="1"/>
  <c r="G221" i="1"/>
  <c r="H221" i="1"/>
  <c r="B222" i="1"/>
  <c r="C222" i="1"/>
  <c r="D222" i="1"/>
  <c r="F222" i="1"/>
  <c r="G222" i="1"/>
  <c r="H222" i="1"/>
  <c r="B223" i="1"/>
  <c r="C223" i="1"/>
  <c r="D223" i="1"/>
  <c r="F223" i="1"/>
  <c r="G223" i="1"/>
  <c r="H223" i="1"/>
  <c r="B224" i="1"/>
  <c r="C224" i="1"/>
  <c r="D224" i="1"/>
  <c r="F224" i="1"/>
  <c r="G224" i="1"/>
  <c r="H224" i="1"/>
  <c r="B225" i="1"/>
  <c r="C225" i="1"/>
  <c r="D225" i="1"/>
  <c r="F225" i="1"/>
  <c r="G225" i="1"/>
  <c r="H225" i="1"/>
  <c r="B226" i="1"/>
  <c r="C226" i="1"/>
  <c r="D226" i="1"/>
  <c r="F226" i="1"/>
  <c r="G226" i="1"/>
  <c r="H226" i="1"/>
  <c r="B227" i="1"/>
  <c r="C227" i="1"/>
  <c r="D227" i="1"/>
  <c r="F227" i="1"/>
  <c r="G227" i="1"/>
  <c r="H227" i="1"/>
  <c r="B228" i="1"/>
  <c r="C228" i="1"/>
  <c r="D228" i="1"/>
  <c r="F228" i="1"/>
  <c r="G228" i="1"/>
  <c r="H228" i="1"/>
  <c r="B229" i="1"/>
  <c r="C229" i="1"/>
  <c r="D229" i="1"/>
  <c r="F229" i="1"/>
  <c r="G229" i="1"/>
  <c r="H229" i="1"/>
  <c r="B230" i="1"/>
  <c r="C230" i="1"/>
  <c r="D230" i="1"/>
  <c r="F230" i="1"/>
  <c r="G230" i="1"/>
  <c r="H230" i="1"/>
  <c r="B231" i="1"/>
  <c r="C231" i="1"/>
  <c r="D231" i="1"/>
  <c r="F231" i="1"/>
  <c r="G231" i="1"/>
  <c r="H231" i="1"/>
  <c r="B232" i="1"/>
  <c r="C232" i="1"/>
  <c r="D232" i="1"/>
  <c r="F232" i="1"/>
  <c r="G232" i="1"/>
  <c r="H232" i="1"/>
  <c r="B233" i="1"/>
  <c r="C233" i="1"/>
  <c r="D233" i="1"/>
  <c r="F233" i="1"/>
  <c r="G233" i="1"/>
  <c r="H233" i="1"/>
  <c r="B234" i="1"/>
  <c r="C234" i="1"/>
  <c r="D234" i="1"/>
  <c r="F234" i="1"/>
  <c r="G234" i="1"/>
  <c r="H234" i="1"/>
  <c r="B235" i="1"/>
  <c r="C235" i="1"/>
  <c r="D235" i="1"/>
  <c r="F235" i="1"/>
  <c r="G235" i="1"/>
  <c r="H235" i="1"/>
  <c r="B236" i="1"/>
  <c r="C236" i="1"/>
  <c r="D236" i="1"/>
  <c r="F236" i="1"/>
  <c r="G236" i="1"/>
  <c r="H236" i="1"/>
  <c r="B237" i="1"/>
  <c r="C237" i="1"/>
  <c r="D237" i="1"/>
  <c r="F237" i="1"/>
  <c r="G237" i="1"/>
  <c r="H237" i="1"/>
  <c r="B238" i="1"/>
  <c r="C238" i="1"/>
  <c r="D238" i="1"/>
  <c r="F238" i="1"/>
  <c r="G238" i="1"/>
  <c r="H238" i="1"/>
  <c r="B239" i="1"/>
  <c r="C239" i="1"/>
  <c r="D239" i="1"/>
  <c r="F239" i="1"/>
  <c r="G239" i="1"/>
  <c r="H239" i="1"/>
  <c r="B240" i="1"/>
  <c r="C240" i="1"/>
  <c r="D240" i="1"/>
  <c r="F240" i="1"/>
  <c r="G240" i="1"/>
  <c r="H240" i="1"/>
  <c r="B241" i="1"/>
  <c r="C241" i="1"/>
  <c r="D241" i="1"/>
  <c r="F241" i="1"/>
  <c r="G241" i="1"/>
  <c r="H241" i="1"/>
  <c r="B242" i="1"/>
  <c r="C242" i="1"/>
  <c r="D242" i="1"/>
  <c r="F242" i="1"/>
  <c r="G242" i="1"/>
  <c r="H242" i="1"/>
  <c r="B243" i="1"/>
  <c r="C243" i="1"/>
  <c r="D243" i="1"/>
  <c r="F243" i="1"/>
  <c r="G243" i="1"/>
  <c r="H243" i="1"/>
  <c r="B244" i="1"/>
  <c r="C244" i="1"/>
  <c r="D244" i="1"/>
  <c r="F244" i="1"/>
  <c r="G244" i="1"/>
  <c r="H244" i="1"/>
  <c r="B245" i="1"/>
  <c r="C245" i="1"/>
  <c r="D245" i="1"/>
  <c r="F245" i="1"/>
  <c r="G245" i="1"/>
  <c r="H245" i="1"/>
  <c r="B246" i="1"/>
  <c r="C246" i="1"/>
  <c r="D246" i="1"/>
  <c r="F246" i="1"/>
  <c r="G246" i="1"/>
  <c r="H246" i="1"/>
  <c r="B247" i="1"/>
  <c r="C247" i="1"/>
  <c r="D247" i="1"/>
  <c r="F247" i="1"/>
  <c r="G247" i="1"/>
  <c r="H247" i="1"/>
  <c r="B248" i="1"/>
  <c r="C248" i="1"/>
  <c r="D248" i="1"/>
  <c r="F248" i="1"/>
  <c r="G248" i="1"/>
  <c r="H248" i="1"/>
  <c r="B249" i="1"/>
  <c r="C249" i="1"/>
  <c r="D249" i="1"/>
  <c r="F249" i="1"/>
  <c r="G249" i="1"/>
  <c r="H249" i="1"/>
  <c r="B250" i="1"/>
  <c r="C250" i="1"/>
  <c r="D250" i="1"/>
  <c r="F250" i="1"/>
  <c r="G250" i="1"/>
  <c r="H250" i="1"/>
  <c r="B251" i="1"/>
  <c r="C251" i="1"/>
  <c r="D251" i="1"/>
  <c r="F251" i="1"/>
  <c r="G251" i="1"/>
  <c r="H251" i="1"/>
  <c r="B252" i="1"/>
  <c r="C252" i="1"/>
  <c r="D252" i="1"/>
  <c r="F252" i="1"/>
  <c r="G252" i="1"/>
  <c r="H252" i="1"/>
  <c r="B253" i="1"/>
  <c r="C253" i="1"/>
  <c r="D253" i="1"/>
  <c r="F253" i="1"/>
  <c r="G253" i="1"/>
  <c r="H253" i="1"/>
  <c r="B254" i="1"/>
  <c r="C254" i="1"/>
  <c r="D254" i="1"/>
  <c r="F254" i="1"/>
  <c r="G254" i="1"/>
  <c r="H254" i="1"/>
  <c r="B255" i="1"/>
  <c r="C255" i="1"/>
  <c r="D255" i="1"/>
  <c r="F255" i="1"/>
  <c r="G255" i="1"/>
  <c r="H255" i="1"/>
  <c r="B256" i="1"/>
  <c r="C256" i="1"/>
  <c r="D256" i="1"/>
  <c r="F256" i="1"/>
  <c r="G256" i="1"/>
  <c r="H256" i="1"/>
  <c r="B257" i="1"/>
  <c r="C257" i="1"/>
  <c r="D257" i="1"/>
  <c r="F257" i="1"/>
  <c r="G257" i="1"/>
  <c r="H257" i="1"/>
  <c r="B258" i="1"/>
  <c r="C258" i="1"/>
  <c r="D258" i="1"/>
  <c r="F258" i="1"/>
  <c r="G258" i="1"/>
  <c r="H258" i="1"/>
  <c r="B259" i="1"/>
  <c r="C259" i="1"/>
  <c r="D259" i="1"/>
  <c r="F259" i="1"/>
  <c r="G259" i="1"/>
  <c r="H259" i="1"/>
  <c r="B260" i="1"/>
  <c r="C260" i="1"/>
  <c r="D260" i="1"/>
  <c r="F260" i="1"/>
  <c r="G260" i="1"/>
  <c r="H260" i="1"/>
  <c r="B261" i="1"/>
  <c r="C261" i="1"/>
  <c r="D261" i="1"/>
  <c r="F261" i="1"/>
  <c r="G261" i="1"/>
  <c r="H261" i="1"/>
  <c r="B262" i="1"/>
  <c r="C262" i="1"/>
  <c r="D262" i="1"/>
  <c r="F262" i="1"/>
  <c r="G262" i="1"/>
  <c r="H262" i="1"/>
  <c r="B263" i="1"/>
  <c r="C263" i="1"/>
  <c r="D263" i="1"/>
  <c r="F263" i="1"/>
  <c r="G263" i="1"/>
  <c r="H263" i="1"/>
  <c r="B264" i="1"/>
  <c r="C264" i="1"/>
  <c r="D264" i="1"/>
  <c r="F264" i="1"/>
  <c r="G264" i="1"/>
  <c r="H264" i="1"/>
  <c r="B265" i="1"/>
  <c r="C265" i="1"/>
  <c r="D265" i="1"/>
  <c r="F265" i="1"/>
  <c r="G265" i="1"/>
  <c r="H265" i="1"/>
  <c r="B266" i="1"/>
  <c r="C266" i="1"/>
  <c r="D266" i="1"/>
  <c r="F266" i="1"/>
  <c r="G266" i="1"/>
  <c r="H266" i="1"/>
  <c r="B267" i="1"/>
  <c r="C267" i="1"/>
  <c r="D267" i="1"/>
  <c r="F267" i="1"/>
  <c r="G267" i="1"/>
  <c r="H267" i="1"/>
  <c r="B268" i="1"/>
  <c r="C268" i="1"/>
  <c r="D268" i="1"/>
  <c r="F268" i="1"/>
  <c r="G268" i="1"/>
  <c r="H268" i="1"/>
  <c r="B269" i="1"/>
  <c r="C269" i="1"/>
  <c r="D269" i="1"/>
  <c r="F269" i="1"/>
  <c r="G269" i="1"/>
  <c r="H269" i="1"/>
  <c r="B270" i="1"/>
  <c r="C270" i="1"/>
  <c r="D270" i="1"/>
  <c r="F270" i="1"/>
  <c r="G270" i="1"/>
  <c r="H270" i="1"/>
  <c r="B271" i="1"/>
  <c r="C271" i="1"/>
  <c r="D271" i="1"/>
  <c r="F271" i="1"/>
  <c r="G271" i="1"/>
  <c r="H271" i="1"/>
  <c r="B272" i="1"/>
  <c r="C272" i="1"/>
  <c r="D272" i="1"/>
  <c r="F272" i="1"/>
  <c r="G272" i="1"/>
  <c r="H272" i="1"/>
  <c r="B273" i="1"/>
  <c r="C273" i="1"/>
  <c r="D273" i="1"/>
  <c r="F273" i="1"/>
  <c r="G273" i="1"/>
  <c r="H273" i="1"/>
  <c r="B274" i="1"/>
  <c r="C274" i="1"/>
  <c r="D274" i="1"/>
  <c r="F274" i="1"/>
  <c r="G274" i="1"/>
  <c r="H274" i="1"/>
  <c r="B275" i="1"/>
  <c r="C275" i="1"/>
  <c r="D275" i="1"/>
  <c r="F275" i="1"/>
  <c r="G275" i="1"/>
  <c r="H275" i="1"/>
  <c r="B276" i="1"/>
  <c r="C276" i="1"/>
  <c r="D276" i="1"/>
  <c r="F276" i="1"/>
  <c r="G276" i="1"/>
  <c r="H276" i="1"/>
  <c r="B277" i="1"/>
  <c r="C277" i="1"/>
  <c r="D277" i="1"/>
  <c r="F277" i="1"/>
  <c r="G277" i="1"/>
  <c r="H277" i="1"/>
  <c r="B278" i="1"/>
  <c r="C278" i="1"/>
  <c r="D278" i="1"/>
  <c r="F278" i="1"/>
  <c r="G278" i="1"/>
  <c r="H278" i="1"/>
  <c r="B279" i="1"/>
  <c r="C279" i="1"/>
  <c r="D279" i="1"/>
  <c r="F279" i="1"/>
  <c r="G279" i="1"/>
  <c r="H279" i="1"/>
  <c r="B280" i="1"/>
  <c r="C280" i="1"/>
  <c r="D280" i="1"/>
  <c r="F280" i="1"/>
  <c r="G280" i="1"/>
  <c r="H280" i="1"/>
  <c r="B281" i="1"/>
  <c r="C281" i="1"/>
  <c r="D281" i="1"/>
  <c r="F281" i="1"/>
  <c r="G281" i="1"/>
  <c r="H281" i="1"/>
  <c r="B282" i="1"/>
  <c r="C282" i="1"/>
  <c r="D282" i="1"/>
  <c r="F282" i="1"/>
  <c r="G282" i="1"/>
  <c r="H282" i="1"/>
  <c r="B283" i="1"/>
  <c r="C283" i="1"/>
  <c r="D283" i="1"/>
  <c r="F283" i="1"/>
  <c r="G283" i="1"/>
  <c r="H283" i="1"/>
  <c r="B284" i="1"/>
  <c r="C284" i="1"/>
  <c r="D284" i="1"/>
  <c r="F284" i="1"/>
  <c r="G284" i="1"/>
  <c r="H284" i="1"/>
  <c r="B285" i="1"/>
  <c r="C285" i="1"/>
  <c r="D285" i="1"/>
  <c r="F285" i="1"/>
  <c r="G285" i="1"/>
  <c r="H285" i="1"/>
  <c r="B286" i="1"/>
  <c r="C286" i="1"/>
  <c r="D286" i="1"/>
  <c r="F286" i="1"/>
  <c r="G286" i="1"/>
  <c r="H286" i="1"/>
  <c r="B287" i="1"/>
  <c r="C287" i="1"/>
  <c r="D287" i="1"/>
  <c r="F287" i="1"/>
  <c r="G287" i="1"/>
  <c r="H287" i="1"/>
  <c r="B288" i="1"/>
  <c r="C288" i="1"/>
  <c r="D288" i="1"/>
  <c r="F288" i="1"/>
  <c r="G288" i="1"/>
  <c r="H288" i="1"/>
  <c r="B289" i="1"/>
  <c r="C289" i="1"/>
  <c r="D289" i="1"/>
  <c r="F289" i="1"/>
  <c r="G289" i="1"/>
  <c r="H289" i="1"/>
  <c r="B290" i="1"/>
  <c r="C290" i="1"/>
  <c r="D290" i="1"/>
  <c r="F290" i="1"/>
  <c r="G290" i="1"/>
  <c r="H290" i="1"/>
  <c r="B291" i="1"/>
  <c r="C291" i="1"/>
  <c r="D291" i="1"/>
  <c r="F291" i="1"/>
  <c r="G291" i="1"/>
  <c r="H291" i="1"/>
  <c r="B292" i="1"/>
  <c r="C292" i="1"/>
  <c r="D292" i="1"/>
  <c r="F292" i="1"/>
  <c r="G292" i="1"/>
  <c r="H292" i="1"/>
  <c r="B293" i="1"/>
  <c r="C293" i="1"/>
  <c r="D293" i="1"/>
  <c r="F293" i="1"/>
  <c r="G293" i="1"/>
  <c r="H293" i="1"/>
  <c r="B294" i="1"/>
  <c r="C294" i="1"/>
  <c r="D294" i="1"/>
  <c r="F294" i="1"/>
  <c r="G294" i="1"/>
  <c r="H294" i="1"/>
  <c r="B295" i="1"/>
  <c r="C295" i="1"/>
  <c r="D295" i="1"/>
  <c r="F295" i="1"/>
  <c r="G295" i="1"/>
  <c r="H295" i="1"/>
  <c r="B296" i="1"/>
  <c r="C296" i="1"/>
  <c r="D296" i="1"/>
  <c r="F296" i="1"/>
  <c r="G296" i="1"/>
  <c r="H296" i="1"/>
  <c r="B297" i="1"/>
  <c r="C297" i="1"/>
  <c r="D297" i="1"/>
  <c r="F297" i="1"/>
  <c r="G297" i="1"/>
  <c r="H297" i="1"/>
  <c r="B298" i="1"/>
  <c r="C298" i="1"/>
  <c r="D298" i="1"/>
  <c r="F298" i="1"/>
  <c r="G298" i="1"/>
  <c r="H298" i="1"/>
  <c r="B299" i="1"/>
  <c r="C299" i="1"/>
  <c r="D299" i="1"/>
  <c r="F299" i="1"/>
  <c r="G299" i="1"/>
  <c r="H299" i="1"/>
  <c r="B300" i="1"/>
  <c r="C300" i="1"/>
  <c r="D300" i="1"/>
  <c r="F300" i="1"/>
  <c r="G300" i="1"/>
  <c r="H300" i="1"/>
  <c r="B301" i="1"/>
  <c r="C301" i="1"/>
  <c r="D301" i="1"/>
  <c r="F301" i="1"/>
  <c r="G301" i="1"/>
  <c r="H301" i="1"/>
  <c r="B302" i="1"/>
  <c r="C302" i="1"/>
  <c r="D302" i="1"/>
  <c r="F302" i="1"/>
  <c r="G302" i="1"/>
  <c r="H302" i="1"/>
  <c r="B303" i="1"/>
  <c r="C303" i="1"/>
  <c r="D303" i="1"/>
  <c r="F303" i="1"/>
  <c r="G303" i="1"/>
  <c r="H303" i="1"/>
  <c r="B304" i="1"/>
  <c r="C304" i="1"/>
  <c r="D304" i="1"/>
  <c r="F304" i="1"/>
  <c r="G304" i="1"/>
  <c r="H304" i="1"/>
  <c r="B305" i="1"/>
  <c r="C305" i="1"/>
  <c r="D305" i="1"/>
  <c r="F305" i="1"/>
  <c r="G305" i="1"/>
  <c r="H305" i="1"/>
  <c r="B306" i="1"/>
  <c r="C306" i="1"/>
  <c r="D306" i="1"/>
  <c r="F306" i="1"/>
  <c r="G306" i="1"/>
  <c r="H306" i="1"/>
  <c r="B307" i="1"/>
  <c r="C307" i="1"/>
  <c r="D307" i="1"/>
  <c r="F307" i="1"/>
  <c r="G307" i="1"/>
  <c r="H307" i="1"/>
  <c r="B308" i="1"/>
  <c r="C308" i="1"/>
  <c r="D308" i="1"/>
  <c r="F308" i="1"/>
  <c r="G308" i="1"/>
  <c r="H308" i="1"/>
  <c r="B309" i="1"/>
  <c r="C309" i="1"/>
  <c r="D309" i="1"/>
  <c r="F309" i="1"/>
  <c r="G309" i="1"/>
  <c r="H309" i="1"/>
  <c r="B310" i="1"/>
  <c r="C310" i="1"/>
  <c r="D310" i="1"/>
  <c r="F310" i="1"/>
  <c r="G310" i="1"/>
  <c r="H310" i="1"/>
  <c r="B311" i="1"/>
  <c r="C311" i="1"/>
  <c r="D311" i="1"/>
  <c r="F311" i="1"/>
  <c r="G311" i="1"/>
  <c r="H311" i="1"/>
  <c r="B312" i="1"/>
  <c r="C312" i="1"/>
  <c r="D312" i="1"/>
  <c r="F312" i="1"/>
  <c r="G312" i="1"/>
  <c r="H312" i="1"/>
  <c r="B313" i="1"/>
  <c r="C313" i="1"/>
  <c r="D313" i="1"/>
  <c r="F313" i="1"/>
  <c r="G313" i="1"/>
  <c r="H313" i="1"/>
  <c r="B314" i="1"/>
  <c r="C314" i="1"/>
  <c r="D314" i="1"/>
  <c r="F314" i="1"/>
  <c r="G314" i="1"/>
  <c r="H314" i="1"/>
  <c r="B315" i="1"/>
  <c r="C315" i="1"/>
  <c r="D315" i="1"/>
  <c r="F315" i="1"/>
  <c r="G315" i="1"/>
  <c r="H315" i="1"/>
  <c r="B316" i="1"/>
  <c r="C316" i="1"/>
  <c r="D316" i="1"/>
  <c r="F316" i="1"/>
  <c r="G316" i="1"/>
  <c r="H316" i="1"/>
  <c r="B317" i="1"/>
  <c r="C317" i="1"/>
  <c r="D317" i="1"/>
  <c r="F317" i="1"/>
  <c r="G317" i="1"/>
  <c r="H317" i="1"/>
  <c r="B318" i="1"/>
  <c r="C318" i="1"/>
  <c r="D318" i="1"/>
  <c r="F318" i="1"/>
  <c r="G318" i="1"/>
  <c r="H318" i="1"/>
  <c r="B319" i="1"/>
  <c r="C319" i="1"/>
  <c r="D319" i="1"/>
  <c r="F319" i="1"/>
  <c r="G319" i="1"/>
  <c r="H319" i="1"/>
  <c r="B320" i="1"/>
  <c r="C320" i="1"/>
  <c r="D320" i="1"/>
  <c r="F320" i="1"/>
  <c r="G320" i="1"/>
  <c r="H320" i="1"/>
  <c r="B321" i="1"/>
  <c r="C321" i="1"/>
  <c r="D321" i="1"/>
  <c r="F321" i="1"/>
  <c r="G321" i="1"/>
  <c r="H321" i="1"/>
  <c r="B322" i="1"/>
  <c r="C322" i="1"/>
  <c r="D322" i="1"/>
  <c r="F322" i="1"/>
  <c r="G322" i="1"/>
  <c r="H322" i="1"/>
  <c r="B323" i="1"/>
  <c r="C323" i="1"/>
  <c r="D323" i="1"/>
  <c r="F323" i="1"/>
  <c r="G323" i="1"/>
  <c r="H323" i="1"/>
  <c r="B324" i="1"/>
  <c r="C324" i="1"/>
  <c r="D324" i="1"/>
  <c r="F324" i="1"/>
  <c r="G324" i="1"/>
  <c r="H324" i="1"/>
  <c r="B325" i="1"/>
  <c r="C325" i="1"/>
  <c r="D325" i="1"/>
  <c r="F325" i="1"/>
  <c r="G325" i="1"/>
  <c r="H325" i="1"/>
  <c r="B326" i="1"/>
  <c r="C326" i="1"/>
  <c r="D326" i="1"/>
  <c r="F326" i="1"/>
  <c r="G326" i="1"/>
  <c r="H326" i="1"/>
  <c r="B327" i="1"/>
  <c r="C327" i="1"/>
  <c r="D327" i="1"/>
  <c r="F327" i="1"/>
  <c r="G327" i="1"/>
  <c r="H327" i="1"/>
  <c r="B328" i="1"/>
  <c r="C328" i="1"/>
  <c r="D328" i="1"/>
  <c r="F328" i="1"/>
  <c r="G328" i="1"/>
  <c r="H328" i="1"/>
  <c r="B329" i="1"/>
  <c r="C329" i="1"/>
  <c r="D329" i="1"/>
  <c r="F329" i="1"/>
  <c r="G329" i="1"/>
  <c r="H329" i="1"/>
  <c r="B330" i="1"/>
  <c r="C330" i="1"/>
  <c r="D330" i="1"/>
  <c r="F330" i="1"/>
  <c r="G330" i="1"/>
  <c r="H330" i="1"/>
  <c r="B331" i="1"/>
  <c r="C331" i="1"/>
  <c r="D331" i="1"/>
  <c r="F331" i="1"/>
  <c r="G331" i="1"/>
  <c r="H331" i="1"/>
  <c r="B332" i="1"/>
  <c r="C332" i="1"/>
  <c r="D332" i="1"/>
  <c r="F332" i="1"/>
  <c r="G332" i="1"/>
  <c r="H332" i="1"/>
  <c r="B333" i="1"/>
  <c r="C333" i="1"/>
  <c r="D333" i="1"/>
  <c r="F333" i="1"/>
  <c r="G333" i="1"/>
  <c r="H333" i="1"/>
  <c r="B334" i="1"/>
  <c r="C334" i="1"/>
  <c r="D334" i="1"/>
  <c r="F334" i="1"/>
  <c r="G334" i="1"/>
  <c r="H334" i="1"/>
  <c r="B335" i="1"/>
  <c r="C335" i="1"/>
  <c r="D335" i="1"/>
  <c r="F335" i="1"/>
  <c r="G335" i="1"/>
  <c r="H335" i="1"/>
  <c r="B336" i="1"/>
  <c r="C336" i="1"/>
  <c r="D336" i="1"/>
  <c r="F336" i="1"/>
  <c r="G336" i="1"/>
  <c r="H336" i="1"/>
  <c r="B337" i="1"/>
  <c r="C337" i="1"/>
  <c r="D337" i="1"/>
  <c r="F337" i="1"/>
  <c r="G337" i="1"/>
  <c r="H337" i="1"/>
  <c r="B338" i="1"/>
  <c r="C338" i="1"/>
  <c r="D338" i="1"/>
  <c r="F338" i="1"/>
  <c r="G338" i="1"/>
  <c r="H338" i="1"/>
  <c r="B339" i="1"/>
  <c r="C339" i="1"/>
  <c r="D339" i="1"/>
  <c r="F339" i="1"/>
  <c r="G339" i="1"/>
  <c r="H339" i="1"/>
  <c r="B340" i="1"/>
  <c r="C340" i="1"/>
  <c r="D340" i="1"/>
  <c r="F340" i="1"/>
  <c r="G340" i="1"/>
  <c r="H340" i="1"/>
  <c r="B341" i="1"/>
  <c r="C341" i="1"/>
  <c r="D341" i="1"/>
  <c r="F341" i="1"/>
  <c r="G341" i="1"/>
  <c r="H341" i="1"/>
  <c r="B342" i="1"/>
  <c r="C342" i="1"/>
  <c r="D342" i="1"/>
  <c r="F342" i="1"/>
  <c r="G342" i="1"/>
  <c r="H342" i="1"/>
  <c r="B343" i="1"/>
  <c r="C343" i="1"/>
  <c r="D343" i="1"/>
  <c r="F343" i="1"/>
  <c r="G343" i="1"/>
  <c r="H343" i="1"/>
  <c r="B344" i="1"/>
  <c r="C344" i="1"/>
  <c r="D344" i="1"/>
  <c r="F344" i="1"/>
  <c r="G344" i="1"/>
  <c r="H344" i="1"/>
  <c r="B345" i="1"/>
  <c r="C345" i="1"/>
  <c r="D345" i="1"/>
  <c r="F345" i="1"/>
  <c r="G345" i="1"/>
  <c r="H345" i="1"/>
  <c r="B346" i="1"/>
  <c r="C346" i="1"/>
  <c r="D346" i="1"/>
  <c r="F346" i="1"/>
  <c r="G346" i="1"/>
  <c r="H346" i="1"/>
  <c r="B347" i="1"/>
  <c r="C347" i="1"/>
  <c r="D347" i="1"/>
  <c r="F347" i="1"/>
  <c r="G347" i="1"/>
  <c r="H347" i="1"/>
  <c r="B348" i="1"/>
  <c r="C348" i="1"/>
  <c r="D348" i="1"/>
  <c r="F348" i="1"/>
  <c r="G348" i="1"/>
  <c r="H348" i="1"/>
  <c r="B349" i="1"/>
  <c r="C349" i="1"/>
  <c r="D349" i="1"/>
  <c r="F349" i="1"/>
  <c r="G349" i="1"/>
  <c r="H349" i="1"/>
  <c r="B350" i="1"/>
  <c r="C350" i="1"/>
  <c r="D350" i="1"/>
  <c r="F350" i="1"/>
  <c r="G350" i="1"/>
  <c r="H350" i="1"/>
  <c r="B351" i="1"/>
  <c r="C351" i="1"/>
  <c r="D351" i="1"/>
  <c r="F351" i="1"/>
  <c r="G351" i="1"/>
  <c r="H351" i="1"/>
  <c r="B352" i="1"/>
  <c r="C352" i="1"/>
  <c r="D352" i="1"/>
  <c r="F352" i="1"/>
  <c r="G352" i="1"/>
  <c r="H352" i="1"/>
  <c r="B353" i="1"/>
  <c r="C353" i="1"/>
  <c r="D353" i="1"/>
  <c r="F353" i="1"/>
  <c r="G353" i="1"/>
  <c r="H353" i="1"/>
  <c r="B354" i="1"/>
  <c r="C354" i="1"/>
  <c r="D354" i="1"/>
  <c r="F354" i="1"/>
  <c r="G354" i="1"/>
  <c r="H354" i="1"/>
  <c r="B355" i="1"/>
  <c r="C355" i="1"/>
  <c r="D355" i="1"/>
  <c r="F355" i="1"/>
  <c r="G355" i="1"/>
  <c r="H355" i="1"/>
  <c r="B356" i="1"/>
  <c r="C356" i="1"/>
  <c r="D356" i="1"/>
  <c r="F356" i="1"/>
  <c r="G356" i="1"/>
  <c r="H356" i="1"/>
  <c r="B357" i="1"/>
  <c r="C357" i="1"/>
  <c r="D357" i="1"/>
  <c r="F357" i="1"/>
  <c r="G357" i="1"/>
  <c r="H357" i="1"/>
  <c r="B358" i="1"/>
  <c r="C358" i="1"/>
  <c r="D358" i="1"/>
  <c r="F358" i="1"/>
  <c r="G358" i="1"/>
  <c r="H358" i="1"/>
  <c r="B359" i="1"/>
  <c r="C359" i="1"/>
  <c r="D359" i="1"/>
  <c r="F359" i="1"/>
  <c r="G359" i="1"/>
  <c r="H359" i="1"/>
  <c r="B360" i="1"/>
  <c r="C360" i="1"/>
  <c r="D360" i="1"/>
  <c r="F360" i="1"/>
  <c r="G360" i="1"/>
  <c r="H360" i="1"/>
  <c r="B361" i="1"/>
  <c r="C361" i="1"/>
  <c r="D361" i="1"/>
  <c r="F361" i="1"/>
  <c r="G361" i="1"/>
  <c r="H361" i="1"/>
  <c r="B362" i="1"/>
  <c r="C362" i="1"/>
  <c r="D362" i="1"/>
  <c r="F362" i="1"/>
  <c r="G362" i="1"/>
  <c r="H362" i="1"/>
  <c r="B363" i="1"/>
  <c r="C363" i="1"/>
  <c r="D363" i="1"/>
  <c r="F363" i="1"/>
  <c r="G363" i="1"/>
  <c r="H363" i="1"/>
  <c r="B364" i="1"/>
  <c r="C364" i="1"/>
  <c r="D364" i="1"/>
  <c r="F364" i="1"/>
  <c r="G364" i="1"/>
  <c r="H364" i="1"/>
  <c r="B365" i="1"/>
  <c r="C365" i="1"/>
  <c r="D365" i="1"/>
  <c r="F365" i="1"/>
  <c r="G365" i="1"/>
  <c r="H365" i="1"/>
  <c r="B366" i="1"/>
  <c r="C366" i="1"/>
  <c r="D366" i="1"/>
  <c r="F366" i="1"/>
  <c r="G366" i="1"/>
  <c r="H366" i="1"/>
  <c r="B367" i="1"/>
  <c r="C367" i="1"/>
  <c r="D367" i="1"/>
  <c r="F367" i="1"/>
  <c r="G367" i="1"/>
  <c r="H367" i="1"/>
  <c r="B368" i="1"/>
  <c r="C368" i="1"/>
  <c r="D368" i="1"/>
  <c r="F368" i="1"/>
  <c r="G368" i="1"/>
  <c r="H368" i="1"/>
  <c r="B369" i="1"/>
  <c r="C369" i="1"/>
  <c r="D369" i="1"/>
  <c r="F369" i="1"/>
  <c r="G369" i="1"/>
  <c r="H369" i="1"/>
  <c r="B370" i="1"/>
  <c r="C370" i="1"/>
  <c r="D370" i="1"/>
  <c r="F370" i="1"/>
  <c r="G370" i="1"/>
  <c r="H370" i="1"/>
  <c r="B371" i="1"/>
  <c r="C371" i="1"/>
  <c r="D371" i="1"/>
  <c r="F371" i="1"/>
  <c r="G371" i="1"/>
  <c r="H371" i="1"/>
  <c r="B372" i="1"/>
  <c r="C372" i="1"/>
  <c r="D372" i="1"/>
  <c r="F372" i="1"/>
  <c r="G372" i="1"/>
  <c r="H372" i="1"/>
  <c r="B373" i="1"/>
  <c r="C373" i="1"/>
  <c r="D373" i="1"/>
  <c r="F373" i="1"/>
  <c r="G373" i="1"/>
  <c r="H373" i="1"/>
  <c r="B374" i="1"/>
  <c r="C374" i="1"/>
  <c r="D374" i="1"/>
  <c r="F374" i="1"/>
  <c r="G374" i="1"/>
  <c r="H374" i="1"/>
  <c r="B375" i="1"/>
  <c r="C375" i="1"/>
  <c r="D375" i="1"/>
  <c r="F375" i="1"/>
  <c r="G375" i="1"/>
  <c r="H375" i="1"/>
  <c r="B376" i="1"/>
  <c r="C376" i="1"/>
  <c r="D376" i="1"/>
  <c r="F376" i="1"/>
  <c r="G376" i="1"/>
  <c r="H376" i="1"/>
  <c r="B377" i="1"/>
  <c r="C377" i="1"/>
  <c r="D377" i="1"/>
  <c r="F377" i="1"/>
  <c r="G377" i="1"/>
  <c r="H377" i="1"/>
  <c r="B378" i="1"/>
  <c r="C378" i="1"/>
  <c r="D378" i="1"/>
  <c r="F378" i="1"/>
  <c r="G378" i="1"/>
  <c r="H378" i="1"/>
  <c r="B379" i="1"/>
  <c r="C379" i="1"/>
  <c r="D379" i="1"/>
  <c r="F379" i="1"/>
  <c r="G379" i="1"/>
  <c r="H379" i="1"/>
  <c r="B380" i="1"/>
  <c r="C380" i="1"/>
  <c r="D380" i="1"/>
  <c r="F380" i="1"/>
  <c r="G380" i="1"/>
  <c r="H380" i="1"/>
  <c r="B381" i="1"/>
  <c r="C381" i="1"/>
  <c r="D381" i="1"/>
  <c r="F381" i="1"/>
  <c r="G381" i="1"/>
  <c r="H381" i="1"/>
  <c r="B382" i="1"/>
  <c r="C382" i="1"/>
  <c r="D382" i="1"/>
  <c r="F382" i="1"/>
  <c r="G382" i="1"/>
  <c r="H382" i="1"/>
  <c r="B383" i="1"/>
  <c r="C383" i="1"/>
  <c r="D383" i="1"/>
  <c r="F383" i="1"/>
  <c r="G383" i="1"/>
  <c r="H383" i="1"/>
  <c r="B384" i="1"/>
  <c r="C384" i="1"/>
  <c r="D384" i="1"/>
  <c r="F384" i="1"/>
  <c r="G384" i="1"/>
  <c r="H384" i="1"/>
  <c r="B385" i="1"/>
  <c r="C385" i="1"/>
  <c r="D385" i="1"/>
  <c r="F385" i="1"/>
  <c r="G385" i="1"/>
  <c r="H385" i="1"/>
  <c r="B386" i="1"/>
  <c r="C386" i="1"/>
  <c r="D386" i="1"/>
  <c r="F386" i="1"/>
  <c r="G386" i="1"/>
  <c r="H386" i="1"/>
  <c r="B387" i="1"/>
  <c r="C387" i="1"/>
  <c r="D387" i="1"/>
  <c r="F387" i="1"/>
  <c r="G387" i="1"/>
  <c r="H387" i="1"/>
  <c r="B388" i="1"/>
  <c r="C388" i="1"/>
  <c r="D388" i="1"/>
  <c r="F388" i="1"/>
  <c r="G388" i="1"/>
  <c r="H388" i="1"/>
  <c r="B389" i="1"/>
  <c r="C389" i="1"/>
  <c r="D389" i="1"/>
  <c r="F389" i="1"/>
  <c r="G389" i="1"/>
  <c r="H389" i="1"/>
  <c r="B390" i="1"/>
  <c r="C390" i="1"/>
  <c r="D390" i="1"/>
  <c r="F390" i="1"/>
  <c r="G390" i="1"/>
  <c r="H390" i="1"/>
  <c r="B391" i="1"/>
  <c r="C391" i="1"/>
  <c r="D391" i="1"/>
  <c r="F391" i="1"/>
  <c r="G391" i="1"/>
  <c r="H391" i="1"/>
  <c r="B392" i="1"/>
  <c r="C392" i="1"/>
  <c r="D392" i="1"/>
  <c r="F392" i="1"/>
  <c r="G392" i="1"/>
  <c r="H392" i="1"/>
  <c r="B393" i="1"/>
  <c r="C393" i="1"/>
  <c r="D393" i="1"/>
  <c r="F393" i="1"/>
  <c r="G393" i="1"/>
  <c r="H393" i="1"/>
  <c r="B394" i="1"/>
  <c r="C394" i="1"/>
  <c r="D394" i="1"/>
  <c r="F394" i="1"/>
  <c r="G394" i="1"/>
  <c r="H394" i="1"/>
  <c r="B395" i="1"/>
  <c r="C395" i="1"/>
  <c r="D395" i="1"/>
  <c r="F395" i="1"/>
  <c r="G395" i="1"/>
  <c r="H395" i="1"/>
  <c r="B396" i="1"/>
  <c r="C396" i="1"/>
  <c r="D396" i="1"/>
  <c r="F396" i="1"/>
  <c r="G396" i="1"/>
  <c r="H396" i="1"/>
  <c r="B397" i="1"/>
  <c r="C397" i="1"/>
  <c r="D397" i="1"/>
  <c r="F397" i="1"/>
  <c r="G397" i="1"/>
  <c r="H397" i="1"/>
  <c r="B398" i="1"/>
  <c r="C398" i="1"/>
  <c r="D398" i="1"/>
  <c r="F398" i="1"/>
  <c r="G398" i="1"/>
  <c r="H398" i="1"/>
  <c r="B399" i="1"/>
  <c r="C399" i="1"/>
  <c r="D399" i="1"/>
  <c r="F399" i="1"/>
  <c r="G399" i="1"/>
  <c r="H399" i="1"/>
  <c r="B400" i="1"/>
  <c r="C400" i="1"/>
  <c r="D400" i="1"/>
  <c r="F400" i="1"/>
  <c r="G400" i="1"/>
  <c r="H400" i="1"/>
  <c r="B401" i="1"/>
  <c r="C401" i="1"/>
  <c r="D401" i="1"/>
  <c r="F401" i="1"/>
  <c r="G401" i="1"/>
  <c r="H401" i="1"/>
  <c r="B402" i="1"/>
  <c r="C402" i="1"/>
  <c r="D402" i="1"/>
  <c r="F402" i="1"/>
  <c r="G402" i="1"/>
  <c r="H402" i="1"/>
  <c r="B403" i="1"/>
  <c r="C403" i="1"/>
  <c r="D403" i="1"/>
  <c r="F403" i="1"/>
  <c r="G403" i="1"/>
  <c r="H403" i="1"/>
  <c r="B404" i="1"/>
  <c r="C404" i="1"/>
  <c r="D404" i="1"/>
  <c r="F404" i="1"/>
  <c r="G404" i="1"/>
  <c r="H404" i="1"/>
  <c r="B405" i="1"/>
  <c r="C405" i="1"/>
  <c r="D405" i="1"/>
  <c r="F405" i="1"/>
  <c r="G405" i="1"/>
  <c r="H405" i="1"/>
  <c r="B406" i="1"/>
  <c r="C406" i="1"/>
  <c r="D406" i="1"/>
  <c r="F406" i="1"/>
  <c r="G406" i="1"/>
  <c r="H406" i="1"/>
  <c r="B407" i="1"/>
  <c r="C407" i="1"/>
  <c r="D407" i="1"/>
  <c r="F407" i="1"/>
  <c r="G407" i="1"/>
  <c r="H407" i="1"/>
  <c r="B408" i="1"/>
  <c r="C408" i="1"/>
  <c r="D408" i="1"/>
  <c r="F408" i="1"/>
  <c r="G408" i="1"/>
  <c r="H408" i="1"/>
  <c r="B409" i="1"/>
  <c r="C409" i="1"/>
  <c r="D409" i="1"/>
  <c r="F409" i="1"/>
  <c r="G409" i="1"/>
  <c r="H409" i="1"/>
  <c r="B410" i="1"/>
  <c r="C410" i="1"/>
  <c r="D410" i="1"/>
  <c r="F410" i="1"/>
  <c r="G410" i="1"/>
  <c r="H410" i="1"/>
  <c r="B411" i="1"/>
  <c r="C411" i="1"/>
  <c r="D411" i="1"/>
  <c r="F411" i="1"/>
  <c r="G411" i="1"/>
  <c r="H411" i="1"/>
  <c r="B412" i="1"/>
  <c r="C412" i="1"/>
  <c r="D412" i="1"/>
  <c r="F412" i="1"/>
  <c r="G412" i="1"/>
  <c r="H412" i="1"/>
</calcChain>
</file>

<file path=xl/sharedStrings.xml><?xml version="1.0" encoding="utf-8"?>
<sst xmlns="http://schemas.openxmlformats.org/spreadsheetml/2006/main" count="424" uniqueCount="424">
  <si>
    <t>施設名称</t>
  </si>
  <si>
    <t>開設者</t>
  </si>
  <si>
    <t>総病床数</t>
  </si>
  <si>
    <t>診療所(一般病床数)</t>
  </si>
  <si>
    <t>一般病床数</t>
  </si>
  <si>
    <t>療養病床数</t>
  </si>
  <si>
    <t>精神病床数</t>
  </si>
  <si>
    <t>結核病床数</t>
  </si>
  <si>
    <t>感染症病床数</t>
  </si>
  <si>
    <t>管轄保健所</t>
    <rPh sb="2" eb="5">
      <t>ホケンショ</t>
    </rPh>
    <phoneticPr fontId="18"/>
  </si>
  <si>
    <t>郵便番号</t>
    <phoneticPr fontId="18"/>
  </si>
  <si>
    <t>山鹿市方保田２８１５－１</t>
  </si>
  <si>
    <t>山鹿市中８２５</t>
  </si>
  <si>
    <t>山鹿市鹿校通２－２－４　ランバービル１Ｆ</t>
  </si>
  <si>
    <t>山鹿市南島１１４３－４</t>
  </si>
  <si>
    <t>山鹿市山鹿１　温泉プラザ２階</t>
  </si>
  <si>
    <t>山鹿市山鹿３３２</t>
  </si>
  <si>
    <t>山鹿市中央通７０８</t>
  </si>
  <si>
    <t>山鹿市菊鹿町下内田５９８－１</t>
  </si>
  <si>
    <t>山鹿市鹿本町高橋１２７０－３</t>
  </si>
  <si>
    <t>山鹿市山鹿１５０４－１</t>
  </si>
  <si>
    <t>山鹿市方保田３４９７番地５</t>
  </si>
  <si>
    <t>山鹿市鹿北町四丁1632番地１</t>
  </si>
  <si>
    <t>山鹿市蒲生１５５３－１</t>
  </si>
  <si>
    <t>山鹿市鹿央町合里６７２－１</t>
  </si>
  <si>
    <t>山鹿市新町404-6</t>
  </si>
  <si>
    <t>山鹿市山鹿１７１９番地</t>
  </si>
  <si>
    <t>山鹿市大橋通１００５番地</t>
  </si>
  <si>
    <t>山鹿市菊鹿町下内田６２７－３</t>
  </si>
  <si>
    <t>山鹿市熊入町263番1号</t>
  </si>
  <si>
    <t>熊本県山鹿市鹿本町来民６９８番地５</t>
  </si>
  <si>
    <t>菊池市隈府８８２－２</t>
  </si>
  <si>
    <t>菊池市隈府８４０－５</t>
  </si>
  <si>
    <t>菊池郡大津町大津１４８５－１</t>
  </si>
  <si>
    <t>菊池郡大津町陣内１１５４－４</t>
  </si>
  <si>
    <t>菊池郡大津町引水１１３－９</t>
  </si>
  <si>
    <t>菊池郡菊陽町原水９５８－１</t>
  </si>
  <si>
    <t>菊池郡菊陽町原水１１５６番地１２</t>
  </si>
  <si>
    <t>菊池郡菊陽町津久礼２１６３－１</t>
  </si>
  <si>
    <t>菊池郡菊陽町光の森７丁目３１番地５</t>
  </si>
  <si>
    <t>菊池郡菊陽町光の森7丁目33番１</t>
  </si>
  <si>
    <t>菊池郡菊陽町向陽台２番１７号</t>
  </si>
  <si>
    <t>菊池郡菊陽町津久礼２３２３－１</t>
  </si>
  <si>
    <t>菊池郡菊陽町光の森２丁目２９番地６</t>
  </si>
  <si>
    <t>菊池郡菊陽町津久礼１６２番地１１</t>
  </si>
  <si>
    <t>菊池郡菊陽町津久礼１７３番地１８</t>
  </si>
  <si>
    <t>菊池郡菊陽町武蔵ヶ丘北３丁目３番１９号</t>
  </si>
  <si>
    <t>合志市竹迫１８７１－１</t>
  </si>
  <si>
    <t>合志市豊岡２５２７－３３７</t>
  </si>
  <si>
    <t>合志市幾久富上沖野１６５６－６１８</t>
  </si>
  <si>
    <t>菊池市泗水町吉富２２７９－５</t>
  </si>
  <si>
    <t>菊池市泗水町福本１８０</t>
  </si>
  <si>
    <t>菊池市泗水町吉富２５１７</t>
  </si>
  <si>
    <t>合志市御代志８３６－１８</t>
  </si>
  <si>
    <t>合志市須屋７１０－１</t>
  </si>
  <si>
    <t>合志市須屋３６７３</t>
  </si>
  <si>
    <t>合志市須屋１８４０－１３</t>
  </si>
  <si>
    <t>合志市御代志１６６１－２０９</t>
  </si>
  <si>
    <t>合志市幾久富１９０９番地６１８</t>
  </si>
  <si>
    <t>菊池郡菊陽町光の森２－３－９</t>
  </si>
  <si>
    <t>菊池市大琳寺２０３－１</t>
  </si>
  <si>
    <t>菊池市泗水町豊水３５１４</t>
  </si>
  <si>
    <t>菊池郡菊陽町新山１－２－２０</t>
  </si>
  <si>
    <t>合志市須屋２６２－５</t>
  </si>
  <si>
    <t>菊池郡大津町室４００－１</t>
  </si>
  <si>
    <t>菊池郡菊陽町久保田２８０３－１</t>
  </si>
  <si>
    <t>合志市幾久富１９０９番１１９３</t>
  </si>
  <si>
    <t>合志市豊岡２０００－２１６２</t>
  </si>
  <si>
    <t>菊池郡菊陽町津久礼2422番地13</t>
  </si>
  <si>
    <t>菊池郡菊陽町光の森7-7-8</t>
  </si>
  <si>
    <t>菊池市隈府１３２９－１</t>
  </si>
  <si>
    <t>菊池郡大津町美咲野３－１－１</t>
  </si>
  <si>
    <t>合志市須屋字三ツ石１２８６－１</t>
  </si>
  <si>
    <t>菊池郡菊陽町武蔵ヶ丘北１－１０－３９</t>
  </si>
  <si>
    <t>菊池市西寺１６５７－１</t>
  </si>
  <si>
    <t>合志市野々島字八反畑4787番地18</t>
  </si>
  <si>
    <t>菊池郡大津町室９８２番地２</t>
  </si>
  <si>
    <t>菊池市七城町砂田１５０１－２</t>
  </si>
  <si>
    <t>菊池市大琳寺２７４－３</t>
  </si>
  <si>
    <t>菊池郡菊陽町武蔵ヶ丘北2丁目15-8-4 にじの森プラザB-2，C区画</t>
  </si>
  <si>
    <t>合志市須屋１９２２－４</t>
  </si>
  <si>
    <t>合志市豊岡２５０５－９</t>
  </si>
  <si>
    <t>菊池郡菊陽町光の森４丁目３４８０－３</t>
  </si>
  <si>
    <t>合志市竹迫２２９０－１</t>
  </si>
  <si>
    <t>菊池郡大津町室701-1</t>
  </si>
  <si>
    <t>菊池市隈府６３２－９</t>
  </si>
  <si>
    <t>菊池郡大津町新２８４－１２</t>
  </si>
  <si>
    <t>菊池郡菊陽町津久礼２６９９－５</t>
  </si>
  <si>
    <t>合志市野々島５４９０－４</t>
  </si>
  <si>
    <t>合志市須屋2533番地5</t>
  </si>
  <si>
    <t>合志市御代志１６７２－１</t>
  </si>
  <si>
    <t>合志市豊岡２０１２番地７４号</t>
  </si>
  <si>
    <t>菊池市隈府４３４</t>
  </si>
  <si>
    <t>菊池郡菊陽町津久礼２９５０－１４</t>
  </si>
  <si>
    <t>菊池郡大津町美咲野一丁目22番22号</t>
  </si>
  <si>
    <t>菊池郡菊陽町大字津久礼字廣街道２４２０－１１</t>
  </si>
  <si>
    <t>菊池市隈府５６５</t>
  </si>
  <si>
    <t>菊池郡菊陽町原水2849-1</t>
  </si>
  <si>
    <t>菊池郡大津町大字室字東迫尻539番12の一部、539番13、539番14</t>
  </si>
  <si>
    <t>合志市幾久富１９０９－１８４</t>
  </si>
  <si>
    <t>合志市須屋２９７２－１</t>
  </si>
  <si>
    <t>合志市須屋３１０１－３</t>
  </si>
  <si>
    <t>合志市豊岡２０００番２８４４</t>
  </si>
  <si>
    <t>菊池郡大津町大字室字門出２１０番地５</t>
  </si>
  <si>
    <t>菊池市泗水町吉富３２２９－１</t>
  </si>
  <si>
    <t>菊池市泗水町豊水３２０５番地</t>
  </si>
  <si>
    <t>菊池市隈府１０８</t>
  </si>
  <si>
    <t>阿蘇市内牧１６７１－１６</t>
  </si>
  <si>
    <t>阿蘇市一の宮町宮地２１２番地の１</t>
  </si>
  <si>
    <t>阿蘇市三久保　５４１番地の５</t>
  </si>
  <si>
    <t>阿蘇市内牧字前無田１０７６－１３</t>
  </si>
  <si>
    <t>阿蘇市内牧１０４９番地の１１</t>
  </si>
  <si>
    <t>阿蘇市黒川１５６３番地の１</t>
  </si>
  <si>
    <t>阿蘇郡小国町宮原１７０１番地</t>
  </si>
  <si>
    <t>阿蘇郡小国町宮原１７７４－１</t>
  </si>
  <si>
    <t>南阿蘇村吉田１４４２番地の１</t>
  </si>
  <si>
    <t>阿蘇郡南阿蘇村下野１５８－４８</t>
  </si>
  <si>
    <t>阿蘇郡西原村小森３５９８－１</t>
  </si>
  <si>
    <t>阿蘇郡西原村小森３６２９番地の３</t>
  </si>
  <si>
    <t>阿蘇郡高森町高森１９７３－３</t>
  </si>
  <si>
    <t>阿蘇市一の宮町宮地２４０５－４</t>
  </si>
  <si>
    <t>阿蘇市一の宮町宮地１９６３番地５</t>
  </si>
  <si>
    <t>阿蘇郡高森町大字高森字上原１９４３－１</t>
  </si>
  <si>
    <t>阿蘇郡南小国町赤馬場144番地の1</t>
  </si>
  <si>
    <t>阿蘇市一の宮町宮地3472番地1</t>
  </si>
  <si>
    <t>阿蘇郡南阿蘇村河陰3790番地1</t>
  </si>
  <si>
    <t>上益城郡御船町辺田見字馬場３６６－１</t>
  </si>
  <si>
    <t>上益城郡嘉島町鯰２７１５－１</t>
  </si>
  <si>
    <t>上益城郡嘉島町下六嘉１８７８－３</t>
  </si>
  <si>
    <t>上益城郡益城町安永７２２－４</t>
  </si>
  <si>
    <t>上益城郡甲佐町横田字大町鶴２２４－１</t>
  </si>
  <si>
    <t>上益城郡甲佐町大町４１５－７</t>
  </si>
  <si>
    <t>上益城郡山都町浜町１０４</t>
  </si>
  <si>
    <t>上益城郡山都町大平１８５</t>
  </si>
  <si>
    <t>上益城郡山都町城原１５９－６－３</t>
  </si>
  <si>
    <t>上益城郡御船町辺田見４４４－８</t>
  </si>
  <si>
    <t>熊本県上益城郡甲佐町大字岩下字東園65番1</t>
  </si>
  <si>
    <t>上益城郡山都町浜町５７番の１</t>
  </si>
  <si>
    <t>上益城郡益城町寺迫１０１２－１</t>
  </si>
  <si>
    <t>上益城郡御船町木倉１３６９番地２</t>
  </si>
  <si>
    <t>上益城郡山都町浜町１８６番地５</t>
  </si>
  <si>
    <t>上益城郡益城町福富７０４</t>
  </si>
  <si>
    <t>上益城郡御船町御船９３７－２</t>
  </si>
  <si>
    <t>上益城郡益城町大字惣領字北横大道１６７３番１</t>
  </si>
  <si>
    <t>上益城郡御船町御船1029番地1</t>
  </si>
  <si>
    <t>熊本県上益城郡益城町宮園764-10</t>
  </si>
  <si>
    <t>上益城郡嘉島町鯰1836番地2</t>
  </si>
  <si>
    <t>上益城郡嘉島町大字上島2187番地11</t>
  </si>
  <si>
    <t>上益城郡御船町大字木倉166番地1</t>
  </si>
  <si>
    <t>上益城郡益城町宮園土地区画整理事業仮換地４８街区７</t>
  </si>
  <si>
    <t>上益城郡益城町惣領１４８５－２</t>
  </si>
  <si>
    <t>上益城郡嘉島町大字鯰字皆根1808番地2</t>
  </si>
  <si>
    <t>八代市大手町２丁目５－１１</t>
  </si>
  <si>
    <t>八代市松江町４４０－２</t>
  </si>
  <si>
    <t>八代市本町２－３－２</t>
  </si>
  <si>
    <t>八代市出町５－９</t>
  </si>
  <si>
    <t>八代市迎町２－６－５</t>
  </si>
  <si>
    <t>八代市萩原町２－１１－４５</t>
  </si>
  <si>
    <t>八代市古城町３０２６－２</t>
  </si>
  <si>
    <t>八代市通町６－１７</t>
  </si>
  <si>
    <t>八代市高下西町２１８４－５</t>
  </si>
  <si>
    <t>八代市本町１－１－４８</t>
  </si>
  <si>
    <t>八代市海士江町２５９１－６</t>
  </si>
  <si>
    <t>八代市毘舎丸町５－４８</t>
  </si>
  <si>
    <t>八代市本町１－１０－３６</t>
  </si>
  <si>
    <t>八代市新開町３－１</t>
  </si>
  <si>
    <t>八代市田中北町８３</t>
  </si>
  <si>
    <t>八代市植柳元町６４０６</t>
  </si>
  <si>
    <t>八代市北の丸町１－１２宮崎ビル１階</t>
  </si>
  <si>
    <t>八代市迎町２－１５－２５</t>
  </si>
  <si>
    <t>八代市上野町３５９１－１４</t>
  </si>
  <si>
    <t>八代市郡築３番町１２－１１</t>
  </si>
  <si>
    <t>八代市横手町１６６８－１</t>
  </si>
  <si>
    <t>八代市古閑中町字六反田１３８４－１</t>
  </si>
  <si>
    <t>八代市上野町１９６５－２</t>
  </si>
  <si>
    <t>八代市千丁町古閑出２４４１－８</t>
  </si>
  <si>
    <t>八代市鏡町鏡４７１</t>
  </si>
  <si>
    <t>八代市鏡町両出１２５５－５</t>
  </si>
  <si>
    <t>八代市鏡町鏡村１１０７－１</t>
  </si>
  <si>
    <t>八代市鏡町鏡村５４８－１</t>
  </si>
  <si>
    <t>八代市鏡町内田４７２－３</t>
  </si>
  <si>
    <t>八代郡氷川町鹿島１２３３</t>
  </si>
  <si>
    <t>八代市泉町柿迫３１８８番地２</t>
  </si>
  <si>
    <t>八代市建馬町３－１ゆめタウン２４２</t>
  </si>
  <si>
    <t>八代市竹原町字土器１６１１</t>
  </si>
  <si>
    <t>八代市田中東町１６－１０</t>
  </si>
  <si>
    <t>八代市本町1丁目７－３６</t>
  </si>
  <si>
    <t>八代市松江町菰池５２４－１</t>
  </si>
  <si>
    <t>八代市上片町高取１５６１番１</t>
  </si>
  <si>
    <t>八代市萩原町１－６－３５（１０１）</t>
  </si>
  <si>
    <t>八代市鏡町内田６９７番地１１</t>
  </si>
  <si>
    <t>八代郡氷川町宮原795-1</t>
  </si>
  <si>
    <t>八代市大村町５４７－２</t>
  </si>
  <si>
    <t>八代市鏡町内田２７０番地１</t>
  </si>
  <si>
    <t>八代市本町４丁目５－２４</t>
  </si>
  <si>
    <t>八代市萩原町２－２－２１</t>
  </si>
  <si>
    <t>八代市長田町２９０２－１</t>
  </si>
  <si>
    <t>八代市永碇町944番地</t>
  </si>
  <si>
    <t>八代市港町５番地</t>
  </si>
  <si>
    <t>八代市沖町六番割３９８７－３イオン八代店１階</t>
  </si>
  <si>
    <t>八代市西松江城町１０－３</t>
  </si>
  <si>
    <t>八代郡氷川町宮原６６７－１</t>
  </si>
  <si>
    <t>八代市本町２丁目３番３１号</t>
  </si>
  <si>
    <t>八代市松江城町４－４０</t>
  </si>
  <si>
    <t>八代市豊原中町字南原２３６０番１</t>
  </si>
  <si>
    <t>八代市若草町５－１</t>
  </si>
  <si>
    <t>八代市西片町２０００番９</t>
  </si>
  <si>
    <t>八代市古閑中町１２０６番２</t>
  </si>
  <si>
    <t>八代市旭中央通１９番地５</t>
  </si>
  <si>
    <t>八代郡氷川町鹿野３２２－５</t>
  </si>
  <si>
    <t>八代市日置町１６０番地３</t>
  </si>
  <si>
    <t>八代市古閑中町字冬築２４３８番地１</t>
  </si>
  <si>
    <t>八代郡氷川町網道２８７番地８</t>
  </si>
  <si>
    <t>八代市横手新町７－１</t>
  </si>
  <si>
    <t>八代市西松江城町２－９　東京画廊GTマンション　１０２</t>
  </si>
  <si>
    <t>八代市古閑上町１７０番地８</t>
  </si>
  <si>
    <t>八代市大村町９５０番１</t>
  </si>
  <si>
    <t>葦北郡芦北町花岡１６６０－５</t>
  </si>
  <si>
    <t>葦北郡津奈木町岩城523番地1</t>
  </si>
  <si>
    <t>水俣市浜町１丁目６ー１１</t>
  </si>
  <si>
    <t>水俣市天神町２丁目４－１１</t>
  </si>
  <si>
    <t>水俣市港町１丁目３番２１号</t>
  </si>
  <si>
    <t>水俣市幸町３－５</t>
  </si>
  <si>
    <t>水俣市桜井町３丁目４－２２</t>
  </si>
  <si>
    <t>葦北郡芦北町小田浦１３４８－５</t>
  </si>
  <si>
    <t>葦北郡芦北町道川内６－９</t>
  </si>
  <si>
    <t>芦北郡芦北町花岡１８４６－８</t>
  </si>
  <si>
    <t>水俣市浜町２丁目１番１８号</t>
  </si>
  <si>
    <t>水俣市大黒町２丁目３番１２号</t>
  </si>
  <si>
    <t>水俣市浜町２丁目６８番１号</t>
  </si>
  <si>
    <t>水俣市大黒町一丁目２番３号</t>
  </si>
  <si>
    <t>芦北郡芦北町田浦６４６－１</t>
  </si>
  <si>
    <t>葦北郡芦北町芦北２３８６－１</t>
  </si>
  <si>
    <t>人吉市西間下町166-9</t>
  </si>
  <si>
    <t>人吉市下城本町１３８３－1</t>
  </si>
  <si>
    <t>人吉市五日町７５</t>
  </si>
  <si>
    <t>人吉市下薩摩瀬町字西町849-11</t>
  </si>
  <si>
    <t>人吉市七日町９４－５</t>
  </si>
  <si>
    <t>人吉市北泉田町２３４</t>
  </si>
  <si>
    <t>人吉市瓦屋町１１１８－１</t>
  </si>
  <si>
    <t>人吉市上青井町字上青井町１４０－３６</t>
  </si>
  <si>
    <t>人吉市下原田町荒毛１３５５－２</t>
  </si>
  <si>
    <t>人吉市願成寺町１３０６</t>
  </si>
  <si>
    <t>人吉市上青井町１８５－８</t>
  </si>
  <si>
    <t>人吉市駒井田町２４５</t>
  </si>
  <si>
    <t>人吉市南町８－１３</t>
  </si>
  <si>
    <t>人吉市宝来町１５－３</t>
  </si>
  <si>
    <t>人吉市願成寺町杉園４０４－４</t>
  </si>
  <si>
    <t>球磨郡錦町一武２１１１</t>
  </si>
  <si>
    <t>球磨郡錦町西８０９</t>
  </si>
  <si>
    <t>球磨郡あさぎり町免田東１９８２－４１</t>
  </si>
  <si>
    <t>球磨郡あさぎり町免田東１８０６－１</t>
  </si>
  <si>
    <t>球磨郡あさぎり町免田西２２７３－５</t>
  </si>
  <si>
    <t>球磨郡あさぎり町免田東３９０－１</t>
  </si>
  <si>
    <t>球磨郡多良木町多良木２８３９－１</t>
  </si>
  <si>
    <t>球磨郡多良木町多良木１５５３－６</t>
  </si>
  <si>
    <t>球磨郡水上村岩野２６６６－１</t>
  </si>
  <si>
    <t>人吉市田町１０</t>
  </si>
  <si>
    <t>球磨郡湯前町中里２８４８－２</t>
  </si>
  <si>
    <t>球磨郡錦町西３２８７番地</t>
  </si>
  <si>
    <t>人吉市南泉田町９５－２</t>
  </si>
  <si>
    <t>人吉市九日町六番地</t>
  </si>
  <si>
    <t>球磨郡湯前町1237番地4</t>
  </si>
  <si>
    <t>人吉市城本町５２６－１７</t>
  </si>
  <si>
    <t>球磨郡多良木町大字多良木字下迫田９３８番地３</t>
  </si>
  <si>
    <t>人吉市下原田町字荒毛字無田ノ原１４３３番地１－２</t>
  </si>
  <si>
    <t>人吉市中青井町３０９番地５</t>
  </si>
  <si>
    <t>人吉市灰久保町19-2</t>
  </si>
  <si>
    <t>球磨郡あさぎり町上北１２７４ー１</t>
  </si>
  <si>
    <t>荒尾市野原４７－３</t>
  </si>
  <si>
    <t>荒尾市荒尾２０００</t>
  </si>
  <si>
    <t>荒尾市西原町３丁目８－１</t>
  </si>
  <si>
    <t>荒尾市大島町３－５－２７</t>
  </si>
  <si>
    <t>荒尾市川登１７９１</t>
  </si>
  <si>
    <t>荒尾市水野３００</t>
  </si>
  <si>
    <t>荒尾市荒尾４５４４番地４６</t>
  </si>
  <si>
    <t>荒尾市荒尾４１６０－２７２</t>
  </si>
  <si>
    <t>荒尾市緑ケ丘５丁目３－１</t>
  </si>
  <si>
    <t>荒尾市野原１２７７－１</t>
  </si>
  <si>
    <t>荒尾市増永９３９</t>
  </si>
  <si>
    <t>荒尾市増永２７４１－１１</t>
  </si>
  <si>
    <t>荒尾市宮内５１５</t>
  </si>
  <si>
    <t>玉名市立願寺１５１－１</t>
  </si>
  <si>
    <t>玉名市繁根木７５</t>
  </si>
  <si>
    <t>玉名市亀甲１４０－５</t>
  </si>
  <si>
    <t>玉名市築地４８７－３</t>
  </si>
  <si>
    <t>玉名市高瀬２８８</t>
  </si>
  <si>
    <t>玉名市築地１３６－４</t>
  </si>
  <si>
    <t>玉名市大浜町５４３－２</t>
  </si>
  <si>
    <t>玉名市高瀬５３７</t>
  </si>
  <si>
    <t>玉名市滑石５５２</t>
  </si>
  <si>
    <t>玉名市中６４－４</t>
  </si>
  <si>
    <t>玉名市中１５９９</t>
  </si>
  <si>
    <t>玉名市岱明町大野下１０８６</t>
  </si>
  <si>
    <t>玉名市岱明町西照寺２００－１</t>
  </si>
  <si>
    <t>玉名市岱明町高道１２２５－１</t>
  </si>
  <si>
    <t>玉名市横島町横島３３３１</t>
  </si>
  <si>
    <t>玉名市横島町横島３４７７－３</t>
  </si>
  <si>
    <t>玉名郡玉東町木葉６５９－３</t>
  </si>
  <si>
    <t>玉名郡玉東町稲佐１５０－１</t>
  </si>
  <si>
    <t>玉名郡和水町西吉地３４２５－１</t>
  </si>
  <si>
    <t>玉名郡南関町関町１２１５－１</t>
  </si>
  <si>
    <t>玉名郡南関町関下１５５０－２</t>
  </si>
  <si>
    <t>玉名郡長洲町清源寺３２７２－８</t>
  </si>
  <si>
    <t>玉名郡長洲町長洲４４２－４</t>
  </si>
  <si>
    <t>玉名郡長洲町腹赤１１－４</t>
  </si>
  <si>
    <t>玉名郡長洲町長洲１３７９－１</t>
  </si>
  <si>
    <t>玉名郡長洲町宮野２７５－１</t>
  </si>
  <si>
    <t>玉名郡南関町小原字松ヶ下８８３－１</t>
  </si>
  <si>
    <t>玉名市天水町小天７２７５－１</t>
  </si>
  <si>
    <t>玉名市六田１２－５</t>
  </si>
  <si>
    <t>玉名市山田２２０３番地１</t>
  </si>
  <si>
    <t>玉名郡長洲町長洲２６４３－１</t>
  </si>
  <si>
    <t>荒尾市大正町１丁目２－２４</t>
  </si>
  <si>
    <t>玉名市山田２０１０－１</t>
  </si>
  <si>
    <t>玉名郡和水町津田字下津留１５６３－７</t>
  </si>
  <si>
    <t>玉名市築地８２２番地１</t>
  </si>
  <si>
    <t>玉名市玉名１２３７－４</t>
  </si>
  <si>
    <t>玉名郡南関町上坂下３５５９－２</t>
  </si>
  <si>
    <t>玉名市立願寺１３９２－５</t>
  </si>
  <si>
    <t>玉名市伊倉南方１００３－１</t>
  </si>
  <si>
    <t>玉名郡和水町江田１４９－５</t>
  </si>
  <si>
    <t>玉名市立願寺３２４－１</t>
  </si>
  <si>
    <t>荒尾市東屋形４丁目１番地１</t>
  </si>
  <si>
    <t>荒尾市原万田６１６－４</t>
  </si>
  <si>
    <t>玉名郡南関町上坂下１８－２</t>
  </si>
  <si>
    <t>荒尾市万田字宮ノ後９２１番地５</t>
  </si>
  <si>
    <t>荒尾市桜山町二丁目１１番２１号</t>
  </si>
  <si>
    <t>荒尾市増永１８６４－５</t>
  </si>
  <si>
    <t>玉名市岱明町野口２２５５</t>
  </si>
  <si>
    <t>玉名市六田２９番地４</t>
  </si>
  <si>
    <t>荒尾市大島町３丁目３番１１号</t>
  </si>
  <si>
    <t>玉名市高瀬６７４</t>
  </si>
  <si>
    <t>玉名市寺田２０番４</t>
  </si>
  <si>
    <t>玉名市天水町部田見2721-1</t>
  </si>
  <si>
    <t>玉名市中1898‐5</t>
  </si>
  <si>
    <t>玉名市中１９０６－１２</t>
  </si>
  <si>
    <t>宇土市門内町２１－６</t>
  </si>
  <si>
    <t>宇土市旭町１４６</t>
  </si>
  <si>
    <t>宇土市網津町２０４７－３</t>
  </si>
  <si>
    <t>宇土市本町５丁目２</t>
  </si>
  <si>
    <t>宇土市栄町１６２</t>
  </si>
  <si>
    <t>宇土市高柳町２７－１</t>
  </si>
  <si>
    <t>宇城市三角町三角浦１１６０－１３０</t>
  </si>
  <si>
    <t>宇城市不知火町大字高良２２５９</t>
  </si>
  <si>
    <t>宇城市松橋町豊福１５９４－４</t>
  </si>
  <si>
    <t>宇城市松橋町松橋９８０</t>
  </si>
  <si>
    <t>宇城市松橋町きらら２丁目３－２</t>
  </si>
  <si>
    <t>宇城市松橋町南豊崎４８４－１</t>
  </si>
  <si>
    <t>宇城市松橋町久具２０５１－１</t>
  </si>
  <si>
    <t>宇城市松橋町曲野２５－５</t>
  </si>
  <si>
    <t>宇城市松橋町浦川内８２４－８</t>
  </si>
  <si>
    <t>宇城市小川町河江７－１</t>
  </si>
  <si>
    <t>宇城市小川町北新田４７９－６</t>
  </si>
  <si>
    <t>宇城市小川町江頭２４３</t>
  </si>
  <si>
    <t>宇城市小川町南新田４３８－２</t>
  </si>
  <si>
    <t>宇城市豊野町山崎２６５－１</t>
  </si>
  <si>
    <t>宇城市豊野町巣林字ひ田１２０４－１</t>
  </si>
  <si>
    <t>下益城郡美里町萱野２６</t>
  </si>
  <si>
    <t>下益城郡美里町大字三和字仁田３８２－１</t>
  </si>
  <si>
    <t>下益城郡美里町永富５１４</t>
  </si>
  <si>
    <t>宇城市三角町波多２２８－１</t>
  </si>
  <si>
    <t>宇土市下網田町字栗林２１０４－８</t>
  </si>
  <si>
    <t>宇土市南段原町３１番地１</t>
  </si>
  <si>
    <t>宇土市高柳町字島ノ内２０番９号</t>
  </si>
  <si>
    <t>宇城市不知火町永尾７８６－２</t>
  </si>
  <si>
    <t>宇城市松橋町きらら１丁目１０－７</t>
  </si>
  <si>
    <t>宇土市善道寺町綾織９５　宇土シティモール外部Ａ棟</t>
  </si>
  <si>
    <t>宇城市三角町中村字五反田１１６３－３</t>
  </si>
  <si>
    <t>宇土市岩古曽町１１９６－３</t>
  </si>
  <si>
    <t>下益城郡美里町中小路835　くまもと温石病院１階</t>
  </si>
  <si>
    <t>宇城市小川町江頭１２０</t>
  </si>
  <si>
    <t>宇土市城之浦町１０８－１１</t>
  </si>
  <si>
    <t>宇城市松橋町曲野３１６１－１</t>
  </si>
  <si>
    <t>宇城市小川町江頭２２９－２</t>
  </si>
  <si>
    <t>宇城市豊野町糸石２２０７番地</t>
  </si>
  <si>
    <t>宇城市松橋町松橋1177-1　ホワイトベース１階</t>
  </si>
  <si>
    <t>宇土市古保里町４４３</t>
  </si>
  <si>
    <t>宇城市小川町小川６９－１</t>
  </si>
  <si>
    <t>宇城市松橋町574</t>
  </si>
  <si>
    <t>天草市大浜町３４８‐５</t>
  </si>
  <si>
    <t>天草市南新町１３－２</t>
  </si>
  <si>
    <t>天草市本渡町本渡２５７０－２４</t>
  </si>
  <si>
    <t>天草市中央新町３－３</t>
  </si>
  <si>
    <t>天草市東浜町１３－１６</t>
  </si>
  <si>
    <t>天草市南新町７－８</t>
  </si>
  <si>
    <t>天草市亀場町亀川１４６－１０</t>
  </si>
  <si>
    <t>天草市亀場町亀川１７３２－１７</t>
  </si>
  <si>
    <t>天草市東浜町１０－１三貴ビル２Ｆ</t>
  </si>
  <si>
    <t>天草市八幡町４－１０</t>
  </si>
  <si>
    <t>天草市栄町１０－３５</t>
  </si>
  <si>
    <t>天草市南新町３－１９</t>
  </si>
  <si>
    <t>天草市太田町２１－９</t>
  </si>
  <si>
    <t>天草市牛深町２５０２－２</t>
  </si>
  <si>
    <t>上天草市大矢野町上２３１６－３</t>
  </si>
  <si>
    <t>上天草市大矢野町中７７９－１</t>
  </si>
  <si>
    <t>上天草市大矢野町上１５０９－６</t>
  </si>
  <si>
    <t>上天草市姫戸町二間戸２２７９－１</t>
  </si>
  <si>
    <t>上天草市龍ヶ岳町樋島４０９－４</t>
  </si>
  <si>
    <t>天草市栖本町馬場２５６０－５</t>
  </si>
  <si>
    <t>天草市新和町小宮地５３４－３</t>
  </si>
  <si>
    <t>天草市五和町御領６４８７</t>
  </si>
  <si>
    <t>天草市五和町二江４７２９</t>
  </si>
  <si>
    <t>天草郡苓北町志岐１１７</t>
  </si>
  <si>
    <t>天草市天草町高浜北９７５－１</t>
  </si>
  <si>
    <t>天草市河浦町河浦４８２２－１</t>
  </si>
  <si>
    <t>天草市河浦町白木河内２２０番地１</t>
  </si>
  <si>
    <t>天草郡苓北町志岐１２９</t>
  </si>
  <si>
    <t>天草市牛深町鬼塚２０３９－１２</t>
  </si>
  <si>
    <t>天草市本渡町本戸馬場９９１－３</t>
  </si>
  <si>
    <t>上天草市松島町合津３１８７－２</t>
  </si>
  <si>
    <t>熊本県天草市大浜町９－２９</t>
  </si>
  <si>
    <t>天草市川原町２２番７号</t>
  </si>
  <si>
    <t>天草市本渡町広瀬字下友１７６－２８</t>
  </si>
  <si>
    <t>上天草市大矢野町登立８８５３</t>
  </si>
  <si>
    <t>天草市有明町大島子３０４４－１</t>
  </si>
  <si>
    <t>天草市中村町２－１８</t>
  </si>
  <si>
    <t>天草市志柿町６６８５番地２</t>
  </si>
  <si>
    <t>天草市本町新休１８１</t>
  </si>
  <si>
    <t>天草市有明町大浦１５６５</t>
  </si>
  <si>
    <t>天草市東浜町１９番４ー１号</t>
  </si>
  <si>
    <t>電話番号</t>
    <phoneticPr fontId="18"/>
  </si>
  <si>
    <t>所在地</t>
    <rPh sb="0" eb="3">
      <t>ショザイチ</t>
    </rPh>
    <phoneticPr fontId="18"/>
  </si>
  <si>
    <t>開設年月日</t>
    <rPh sb="2" eb="3">
      <t>ネン</t>
    </rPh>
    <rPh sb="3" eb="4">
      <t>ガツ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</si>
</sst>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 textRotation="255"/>
    </xf>
    <xf numFmtId="0" fontId="19" fillId="0" borderId="10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DE425-E9CD-4DFB-8FCE-13A04A7ABF1C}">
  <dimension ref="B2:O412"/>
  <sheetViews>
    <sheetView tabSelected="1" topLeftCell="A390" workbookViewId="0">
      <selection activeCell="C421" sqref="C421"/>
    </sheetView>
  </sheetViews>
  <sheetFormatPr defaultRowHeight="13" x14ac:dyDescent="0.2"/>
  <cols>
    <col min="2" max="2" width="9" bestFit="1" customWidth="1"/>
    <col min="3" max="3" width="60.26953125" bestFit="1" customWidth="1"/>
    <col min="4" max="4" width="13.7265625" bestFit="1" customWidth="1"/>
    <col min="5" max="5" width="70.7265625" bestFit="1" customWidth="1"/>
    <col min="6" max="6" width="21.36328125" bestFit="1" customWidth="1"/>
    <col min="7" max="7" width="43.36328125" bestFit="1" customWidth="1"/>
    <col min="8" max="8" width="14.1796875" bestFit="1" customWidth="1"/>
    <col min="9" max="15" width="9" bestFit="1" customWidth="1"/>
  </cols>
  <sheetData>
    <row r="2" spans="2:15" ht="131" x14ac:dyDescent="0.2">
      <c r="B2" s="1" t="s">
        <v>9</v>
      </c>
      <c r="C2" s="1" t="s">
        <v>0</v>
      </c>
      <c r="D2" s="1" t="s">
        <v>10</v>
      </c>
      <c r="E2" s="1" t="s">
        <v>422</v>
      </c>
      <c r="F2" s="1" t="s">
        <v>421</v>
      </c>
      <c r="G2" s="1" t="s">
        <v>1</v>
      </c>
      <c r="H2" s="1" t="s">
        <v>423</v>
      </c>
      <c r="I2" s="1" t="s">
        <v>2</v>
      </c>
      <c r="J2" s="1" t="s">
        <v>3</v>
      </c>
      <c r="K2" s="1" t="s">
        <v>4</v>
      </c>
      <c r="L2" s="1" t="s">
        <v>5</v>
      </c>
      <c r="M2" s="1" t="s">
        <v>6</v>
      </c>
      <c r="N2" s="1" t="s">
        <v>7</v>
      </c>
      <c r="O2" s="1" t="s">
        <v>8</v>
      </c>
    </row>
    <row r="3" spans="2:15" x14ac:dyDescent="0.2">
      <c r="B3" s="2" t="str">
        <f t="shared" ref="B3:B22" si="0">"山鹿"</f>
        <v>山鹿</v>
      </c>
      <c r="C3" s="2" t="str">
        <f>"あかほし歯科"</f>
        <v>あかほし歯科</v>
      </c>
      <c r="D3" s="2" t="str">
        <f>"861-0382"</f>
        <v>861-0382</v>
      </c>
      <c r="E3" s="2" t="s">
        <v>11</v>
      </c>
      <c r="F3" s="2" t="str">
        <f>"0968448022    "</f>
        <v xml:space="preserve">0968448022    </v>
      </c>
      <c r="G3" s="2" t="str">
        <f>"赤星　一郎"</f>
        <v>赤星　一郎</v>
      </c>
      <c r="H3" s="2" t="str">
        <f>"H10.04.15"</f>
        <v>H10.04.15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</row>
    <row r="4" spans="2:15" x14ac:dyDescent="0.2">
      <c r="B4" s="2" t="str">
        <f t="shared" si="0"/>
        <v>山鹿</v>
      </c>
      <c r="C4" s="2" t="str">
        <f>"小嶋歯科医院"</f>
        <v>小嶋歯科医院</v>
      </c>
      <c r="D4" s="2" t="str">
        <f>"861-0531"</f>
        <v>861-0531</v>
      </c>
      <c r="E4" s="2" t="s">
        <v>12</v>
      </c>
      <c r="F4" s="2" t="str">
        <f>"0968431234    "</f>
        <v xml:space="preserve">0968431234    </v>
      </c>
      <c r="G4" s="2" t="str">
        <f>"医療法人小嶋会"</f>
        <v>医療法人小嶋会</v>
      </c>
      <c r="H4" s="2" t="str">
        <f>"H06.12.01"</f>
        <v>H06.12.01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</row>
    <row r="5" spans="2:15" x14ac:dyDescent="0.2">
      <c r="B5" s="2" t="str">
        <f t="shared" si="0"/>
        <v>山鹿</v>
      </c>
      <c r="C5" s="2" t="str">
        <f>"河原歯科医院"</f>
        <v>河原歯科医院</v>
      </c>
      <c r="D5" s="2" t="str">
        <f>"861-0532"</f>
        <v>861-0532</v>
      </c>
      <c r="E5" s="2" t="s">
        <v>13</v>
      </c>
      <c r="F5" s="2" t="str">
        <f>"0968438148    "</f>
        <v xml:space="preserve">0968438148    </v>
      </c>
      <c r="G5" s="2" t="str">
        <f>"医療法人社団河原歯科医院"</f>
        <v>医療法人社団河原歯科医院</v>
      </c>
      <c r="H5" s="2" t="str">
        <f>"H08.12.01"</f>
        <v>H08.12.01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</row>
    <row r="6" spans="2:15" x14ac:dyDescent="0.2">
      <c r="B6" s="2" t="str">
        <f t="shared" si="0"/>
        <v>山鹿</v>
      </c>
      <c r="C6" s="2" t="str">
        <f>"のがみ歯科医院"</f>
        <v>のがみ歯科医院</v>
      </c>
      <c r="D6" s="2" t="str">
        <f>"861-0535"</f>
        <v>861-0535</v>
      </c>
      <c r="E6" s="2" t="s">
        <v>14</v>
      </c>
      <c r="F6" s="2" t="str">
        <f>"0968434848    "</f>
        <v xml:space="preserve">0968434848    </v>
      </c>
      <c r="G6" s="2" t="str">
        <f>"医療法人社団のがみ歯科医院"</f>
        <v>医療法人社団のがみ歯科医院</v>
      </c>
      <c r="H6" s="2" t="str">
        <f>"H11.04.01"</f>
        <v>H11.04.01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</row>
    <row r="7" spans="2:15" x14ac:dyDescent="0.2">
      <c r="B7" s="2" t="str">
        <f t="shared" si="0"/>
        <v>山鹿</v>
      </c>
      <c r="C7" s="2" t="str">
        <f>"原賀歯科医院"</f>
        <v>原賀歯科医院</v>
      </c>
      <c r="D7" s="2" t="str">
        <f>"861-0501"</f>
        <v>861-0501</v>
      </c>
      <c r="E7" s="2" t="s">
        <v>15</v>
      </c>
      <c r="F7" s="2" t="str">
        <f>"0968447823    "</f>
        <v xml:space="preserve">0968447823    </v>
      </c>
      <c r="G7" s="2" t="str">
        <f>"原賀　滋久"</f>
        <v>原賀　滋久</v>
      </c>
      <c r="H7" s="2" t="str">
        <f>"S53.06.14"</f>
        <v>S53.06.14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</row>
    <row r="8" spans="2:15" x14ac:dyDescent="0.2">
      <c r="B8" s="2" t="str">
        <f t="shared" si="0"/>
        <v>山鹿</v>
      </c>
      <c r="C8" s="2" t="str">
        <f>"宮坂歯科診療所"</f>
        <v>宮坂歯科診療所</v>
      </c>
      <c r="D8" s="2" t="str">
        <f>"861-0501"</f>
        <v>861-0501</v>
      </c>
      <c r="E8" s="2" t="s">
        <v>16</v>
      </c>
      <c r="F8" s="2" t="str">
        <f>"0968432340    "</f>
        <v xml:space="preserve">0968432340    </v>
      </c>
      <c r="G8" s="2" t="str">
        <f>"医療法人景人会"</f>
        <v>医療法人景人会</v>
      </c>
      <c r="H8" s="2" t="str">
        <f>"H02.09.01"</f>
        <v>H02.09.01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</row>
    <row r="9" spans="2:15" x14ac:dyDescent="0.2">
      <c r="B9" s="2" t="str">
        <f t="shared" si="0"/>
        <v>山鹿</v>
      </c>
      <c r="C9" s="2" t="str">
        <f>"森歯科・小児歯科医院"</f>
        <v>森歯科・小児歯科医院</v>
      </c>
      <c r="D9" s="2" t="str">
        <f>"861-0516"</f>
        <v>861-0516</v>
      </c>
      <c r="E9" s="2" t="s">
        <v>17</v>
      </c>
      <c r="F9" s="2" t="str">
        <f>"0968437812    "</f>
        <v xml:space="preserve">0968437812    </v>
      </c>
      <c r="G9" s="2" t="str">
        <f>"医療法人社団天昌会"</f>
        <v>医療法人社団天昌会</v>
      </c>
      <c r="H9" s="2" t="str">
        <f>"H02.02.01"</f>
        <v>H02.02.01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</row>
    <row r="10" spans="2:15" x14ac:dyDescent="0.2">
      <c r="B10" s="2" t="str">
        <f t="shared" si="0"/>
        <v>山鹿</v>
      </c>
      <c r="C10" s="2" t="str">
        <f>"木下歯科医院"</f>
        <v>木下歯科医院</v>
      </c>
      <c r="D10" s="2" t="str">
        <f>"861-0406"</f>
        <v>861-0406</v>
      </c>
      <c r="E10" s="2" t="s">
        <v>18</v>
      </c>
      <c r="F10" s="2" t="str">
        <f>"0968482180    "</f>
        <v xml:space="preserve">0968482180    </v>
      </c>
      <c r="G10" s="2" t="str">
        <f>"木下　友晴"</f>
        <v>木下　友晴</v>
      </c>
      <c r="H10" s="2" t="str">
        <f>"H14.05.01"</f>
        <v>H14.05.01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</row>
    <row r="11" spans="2:15" x14ac:dyDescent="0.2">
      <c r="B11" s="2" t="str">
        <f t="shared" si="0"/>
        <v>山鹿</v>
      </c>
      <c r="C11" s="2" t="str">
        <f>"たけいち歯科医院"</f>
        <v>たけいち歯科医院</v>
      </c>
      <c r="D11" s="2" t="str">
        <f>"861-0303"</f>
        <v>861-0303</v>
      </c>
      <c r="E11" s="2" t="s">
        <v>19</v>
      </c>
      <c r="F11" s="2" t="str">
        <f>"0968465526    "</f>
        <v xml:space="preserve">0968465526    </v>
      </c>
      <c r="G11" s="2" t="str">
        <f>"武市　功雄"</f>
        <v>武市　功雄</v>
      </c>
      <c r="H11" s="2" t="str">
        <f>"H06.04.04"</f>
        <v>H06.04.04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</row>
    <row r="12" spans="2:15" x14ac:dyDescent="0.2">
      <c r="B12" s="2" t="str">
        <f t="shared" si="0"/>
        <v>山鹿</v>
      </c>
      <c r="C12" s="2" t="str">
        <f>"田中歯科医院"</f>
        <v>田中歯科医院</v>
      </c>
      <c r="D12" s="2" t="str">
        <f>"861-0501"</f>
        <v>861-0501</v>
      </c>
      <c r="E12" s="2" t="s">
        <v>20</v>
      </c>
      <c r="F12" s="2" t="str">
        <f>"0968432597    "</f>
        <v xml:space="preserve">0968432597    </v>
      </c>
      <c r="G12" s="2" t="str">
        <f>"医療法人田中会"</f>
        <v>医療法人田中会</v>
      </c>
      <c r="H12" s="2" t="str">
        <f>"H17.09.01"</f>
        <v>H17.09.01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</row>
    <row r="13" spans="2:15" x14ac:dyDescent="0.2">
      <c r="B13" s="2" t="str">
        <f t="shared" si="0"/>
        <v>山鹿</v>
      </c>
      <c r="C13" s="2" t="str">
        <f>"はしもと歯科クリニック"</f>
        <v>はしもと歯科クリニック</v>
      </c>
      <c r="D13" s="2" t="str">
        <f>"861-0382"</f>
        <v>861-0382</v>
      </c>
      <c r="E13" s="2" t="s">
        <v>21</v>
      </c>
      <c r="F13" s="2" t="str">
        <f>"0968413266    "</f>
        <v xml:space="preserve">0968413266    </v>
      </c>
      <c r="G13" s="2" t="str">
        <f>"橋本英樹"</f>
        <v>橋本英樹</v>
      </c>
      <c r="H13" s="2" t="str">
        <f>"H19.05.14"</f>
        <v>H19.05.14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</row>
    <row r="14" spans="2:15" x14ac:dyDescent="0.2">
      <c r="B14" s="2" t="str">
        <f t="shared" si="0"/>
        <v>山鹿</v>
      </c>
      <c r="C14" s="2" t="str">
        <f>"小林歯科医院"</f>
        <v>小林歯科医院</v>
      </c>
      <c r="D14" s="2" t="str">
        <f>"861-0601"</f>
        <v>861-0601</v>
      </c>
      <c r="E14" s="2" t="s">
        <v>22</v>
      </c>
      <c r="F14" s="2" t="str">
        <f>"0968323838    "</f>
        <v xml:space="preserve">0968323838    </v>
      </c>
      <c r="G14" s="2" t="str">
        <f>"医療法人社団　小林会"</f>
        <v>医療法人社団　小林会</v>
      </c>
      <c r="H14" s="2" t="str">
        <f>"H20.09.10"</f>
        <v>H20.09.10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</row>
    <row r="15" spans="2:15" x14ac:dyDescent="0.2">
      <c r="B15" s="2" t="str">
        <f t="shared" si="0"/>
        <v>山鹿</v>
      </c>
      <c r="C15" s="2" t="str">
        <f>"豊デンタルクリニック"</f>
        <v>豊デンタルクリニック</v>
      </c>
      <c r="D15" s="2" t="str">
        <f>"861-0523"</f>
        <v>861-0523</v>
      </c>
      <c r="E15" s="2" t="s">
        <v>23</v>
      </c>
      <c r="F15" s="2" t="str">
        <f>"0968416482    "</f>
        <v xml:space="preserve">0968416482    </v>
      </c>
      <c r="G15" s="2" t="str">
        <f>"大木　秀一"</f>
        <v>大木　秀一</v>
      </c>
      <c r="H15" s="2" t="str">
        <f>"H27.10.10"</f>
        <v>H27.10.10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</row>
    <row r="16" spans="2:15" x14ac:dyDescent="0.2">
      <c r="B16" s="2" t="str">
        <f t="shared" si="0"/>
        <v>山鹿</v>
      </c>
      <c r="C16" s="2" t="str">
        <f>"ふじもと歯科医院"</f>
        <v>ふじもと歯科医院</v>
      </c>
      <c r="D16" s="2" t="str">
        <f>"861-0565"</f>
        <v>861-0565</v>
      </c>
      <c r="E16" s="2" t="s">
        <v>24</v>
      </c>
      <c r="F16" s="2" t="str">
        <f>"0968364618    "</f>
        <v xml:space="preserve">0968364618    </v>
      </c>
      <c r="G16" s="2" t="str">
        <f>"医療法人　グリーンクローバー"</f>
        <v>医療法人　グリーンクローバー</v>
      </c>
      <c r="H16" s="2" t="str">
        <f>"H29.01.01"</f>
        <v>H29.01.01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</row>
    <row r="17" spans="2:15" x14ac:dyDescent="0.2">
      <c r="B17" s="2" t="str">
        <f t="shared" si="0"/>
        <v>山鹿</v>
      </c>
      <c r="C17" s="2" t="str">
        <f>"はら歯科医院"</f>
        <v>はら歯科医院</v>
      </c>
      <c r="D17" s="2" t="str">
        <f>"861-0514"</f>
        <v>861-0514</v>
      </c>
      <c r="E17" s="2" t="s">
        <v>25</v>
      </c>
      <c r="F17" s="2" t="str">
        <f>"0968481118    "</f>
        <v xml:space="preserve">0968481118    </v>
      </c>
      <c r="G17" s="2" t="str">
        <f>"医療法人　敬信会"</f>
        <v>医療法人　敬信会</v>
      </c>
      <c r="H17" s="2" t="str">
        <f>"R01.06.01"</f>
        <v>R01.06.01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</row>
    <row r="18" spans="2:15" x14ac:dyDescent="0.2">
      <c r="B18" s="2" t="str">
        <f t="shared" si="0"/>
        <v>山鹿</v>
      </c>
      <c r="C18" s="2" t="str">
        <f>"神山歯科医院"</f>
        <v>神山歯科医院</v>
      </c>
      <c r="D18" s="2" t="str">
        <f>"861-0501"</f>
        <v>861-0501</v>
      </c>
      <c r="E18" s="2" t="s">
        <v>26</v>
      </c>
      <c r="F18" s="2" t="str">
        <f>"0968436699    "</f>
        <v xml:space="preserve">0968436699    </v>
      </c>
      <c r="G18" s="2" t="str">
        <f>"医療法人　神鷹会"</f>
        <v>医療法人　神鷹会</v>
      </c>
      <c r="H18" s="2" t="str">
        <f>"R06.01.01"</f>
        <v>R06.01.01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</row>
    <row r="19" spans="2:15" x14ac:dyDescent="0.2">
      <c r="B19" s="2" t="str">
        <f t="shared" si="0"/>
        <v>山鹿</v>
      </c>
      <c r="C19" s="2" t="str">
        <f>"こうずま歯科医院"</f>
        <v>こうずま歯科医院</v>
      </c>
      <c r="D19" s="2" t="str">
        <f>"861-0517"</f>
        <v>861-0517</v>
      </c>
      <c r="E19" s="2" t="s">
        <v>27</v>
      </c>
      <c r="F19" s="2" t="str">
        <f>"0968432802    "</f>
        <v xml:space="preserve">0968432802    </v>
      </c>
      <c r="G19" s="2" t="str">
        <f>"医療法人　髙水間会"</f>
        <v>医療法人　髙水間会</v>
      </c>
      <c r="H19" s="2" t="str">
        <f>"R06.11.01"</f>
        <v>R06.11.01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</row>
    <row r="20" spans="2:15" x14ac:dyDescent="0.2">
      <c r="B20" s="2" t="str">
        <f t="shared" si="0"/>
        <v>山鹿</v>
      </c>
      <c r="C20" s="2" t="str">
        <f>"大川内歯科"</f>
        <v>大川内歯科</v>
      </c>
      <c r="D20" s="2" t="str">
        <f>"861-0406"</f>
        <v>861-0406</v>
      </c>
      <c r="E20" s="2" t="s">
        <v>28</v>
      </c>
      <c r="F20" s="2" t="str">
        <f>"0968483718    "</f>
        <v xml:space="preserve">0968483718    </v>
      </c>
      <c r="G20" s="2" t="str">
        <f>"大川内　雅哉"</f>
        <v>大川内　雅哉</v>
      </c>
      <c r="H20" s="2" t="str">
        <f>"H26.09.18"</f>
        <v>H26.09.18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</row>
    <row r="21" spans="2:15" x14ac:dyDescent="0.2">
      <c r="B21" s="2" t="str">
        <f t="shared" si="0"/>
        <v>山鹿</v>
      </c>
      <c r="C21" s="2" t="str">
        <f>"大坂総合歯科"</f>
        <v>大坂総合歯科</v>
      </c>
      <c r="D21" s="2" t="str">
        <f>"861-0511"</f>
        <v>861-0511</v>
      </c>
      <c r="E21" s="2" t="s">
        <v>29</v>
      </c>
      <c r="F21" s="2" t="str">
        <f>"0968428241    "</f>
        <v xml:space="preserve">0968428241    </v>
      </c>
      <c r="G21" s="2" t="str">
        <f>"医療法人　桜豊会"</f>
        <v>医療法人　桜豊会</v>
      </c>
      <c r="H21" s="2" t="str">
        <f>"R01.05.01"</f>
        <v>R01.05.01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</row>
    <row r="22" spans="2:15" x14ac:dyDescent="0.2">
      <c r="B22" s="2" t="str">
        <f t="shared" si="0"/>
        <v>山鹿</v>
      </c>
      <c r="C22" s="2" t="str">
        <f>"平井歯科医院"</f>
        <v>平井歯科医院</v>
      </c>
      <c r="D22" s="2" t="str">
        <f>"861-0331"</f>
        <v>861-0331</v>
      </c>
      <c r="E22" s="2" t="s">
        <v>30</v>
      </c>
      <c r="F22" s="2" t="str">
        <f>"0968462353    "</f>
        <v xml:space="preserve">0968462353    </v>
      </c>
      <c r="G22" s="2" t="str">
        <f>"医療法人功貴会"</f>
        <v>医療法人功貴会</v>
      </c>
      <c r="H22" s="2" t="str">
        <f>"R04.03.02"</f>
        <v>R04.03.02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</row>
    <row r="23" spans="2:15" x14ac:dyDescent="0.2">
      <c r="B23" s="2" t="str">
        <f t="shared" ref="B23:B54" si="1">"菊池"</f>
        <v>菊池</v>
      </c>
      <c r="C23" s="2" t="str">
        <f>"荒木歯科医院"</f>
        <v>荒木歯科医院</v>
      </c>
      <c r="D23" s="2" t="str">
        <f>"861-1331"</f>
        <v>861-1331</v>
      </c>
      <c r="E23" s="2" t="s">
        <v>31</v>
      </c>
      <c r="F23" s="2" t="str">
        <f>"0968251478    "</f>
        <v xml:space="preserve">0968251478    </v>
      </c>
      <c r="G23" s="2" t="str">
        <f>"医療法人社団　杏林会"</f>
        <v>医療法人社団　杏林会</v>
      </c>
      <c r="H23" s="2" t="str">
        <f>"H06.08.01"</f>
        <v>H06.08.01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</row>
    <row r="24" spans="2:15" x14ac:dyDescent="0.2">
      <c r="B24" s="2" t="str">
        <f t="shared" si="1"/>
        <v>菊池</v>
      </c>
      <c r="C24" s="2" t="str">
        <f>"林秀樹歯科医院"</f>
        <v>林秀樹歯科医院</v>
      </c>
      <c r="D24" s="2" t="str">
        <f>"861-1331"</f>
        <v>861-1331</v>
      </c>
      <c r="E24" s="2" t="s">
        <v>32</v>
      </c>
      <c r="F24" s="2" t="str">
        <f>"0968254500    "</f>
        <v xml:space="preserve">0968254500    </v>
      </c>
      <c r="G24" s="2" t="str">
        <f>"林　秀樹"</f>
        <v>林　秀樹</v>
      </c>
      <c r="H24" s="2" t="str">
        <f>"H08.05.16"</f>
        <v>H08.05.16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</row>
    <row r="25" spans="2:15" x14ac:dyDescent="0.2">
      <c r="B25" s="2" t="str">
        <f t="shared" si="1"/>
        <v>菊池</v>
      </c>
      <c r="C25" s="2" t="str">
        <f>"片山歯科医院"</f>
        <v>片山歯科医院</v>
      </c>
      <c r="D25" s="2" t="str">
        <f>"869-1233"</f>
        <v>869-1233</v>
      </c>
      <c r="E25" s="2" t="s">
        <v>33</v>
      </c>
      <c r="F25" s="2" t="str">
        <f>"0962930864    "</f>
        <v xml:space="preserve">0962930864    </v>
      </c>
      <c r="G25" s="2" t="str">
        <f>"片山幸博"</f>
        <v>片山幸博</v>
      </c>
      <c r="H25" s="2" t="str">
        <f>"S57.11.01"</f>
        <v>S57.11.01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</row>
    <row r="26" spans="2:15" x14ac:dyDescent="0.2">
      <c r="B26" s="2" t="str">
        <f t="shared" si="1"/>
        <v>菊池</v>
      </c>
      <c r="C26" s="2" t="str">
        <f>"こんどう歯科医院"</f>
        <v>こんどう歯科医院</v>
      </c>
      <c r="D26" s="2" t="str">
        <f>"869-1221"</f>
        <v>869-1221</v>
      </c>
      <c r="E26" s="2" t="s">
        <v>34</v>
      </c>
      <c r="F26" s="2" t="str">
        <f>"0962134415    "</f>
        <v xml:space="preserve">0962134415    </v>
      </c>
      <c r="G26" s="2" t="str">
        <f>"医療法人社団　健優会"</f>
        <v>医療法人社団　健優会</v>
      </c>
      <c r="H26" s="2" t="str">
        <f>"H15.03.01"</f>
        <v>H15.03.01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</row>
    <row r="27" spans="2:15" x14ac:dyDescent="0.2">
      <c r="B27" s="2" t="str">
        <f t="shared" si="1"/>
        <v>菊池</v>
      </c>
      <c r="C27" s="2" t="str">
        <f>"ハート歯科クリニック"</f>
        <v>ハート歯科クリニック</v>
      </c>
      <c r="D27" s="2" t="str">
        <f>"869-1234"</f>
        <v>869-1234</v>
      </c>
      <c r="E27" s="2" t="s">
        <v>35</v>
      </c>
      <c r="F27" s="2" t="str">
        <f>"0962946777    "</f>
        <v xml:space="preserve">0962946777    </v>
      </c>
      <c r="G27" s="2" t="str">
        <f>"明受清一"</f>
        <v>明受清一</v>
      </c>
      <c r="H27" s="2" t="str">
        <f>"H15.07.16"</f>
        <v>H15.07.16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</row>
    <row r="28" spans="2:15" x14ac:dyDescent="0.2">
      <c r="B28" s="2" t="str">
        <f t="shared" si="1"/>
        <v>菊池</v>
      </c>
      <c r="C28" s="2" t="str">
        <f>"石川歯科・矯正歯科医院"</f>
        <v>石川歯科・矯正歯科医院</v>
      </c>
      <c r="D28" s="2" t="str">
        <f>"869-1102"</f>
        <v>869-1102</v>
      </c>
      <c r="E28" s="2" t="s">
        <v>36</v>
      </c>
      <c r="F28" s="2" t="str">
        <f>"0962325818    "</f>
        <v xml:space="preserve">0962325818    </v>
      </c>
      <c r="G28" s="2" t="str">
        <f>"石川　博文"</f>
        <v>石川　博文</v>
      </c>
      <c r="H28" s="2" t="str">
        <f>"H03.06.01"</f>
        <v>H03.06.01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</row>
    <row r="29" spans="2:15" x14ac:dyDescent="0.2">
      <c r="B29" s="2" t="str">
        <f t="shared" si="1"/>
        <v>菊池</v>
      </c>
      <c r="C29" s="2" t="str">
        <f>"絵輝歯科"</f>
        <v>絵輝歯科</v>
      </c>
      <c r="D29" s="2" t="str">
        <f>"869-1102"</f>
        <v>869-1102</v>
      </c>
      <c r="E29" s="2" t="s">
        <v>37</v>
      </c>
      <c r="F29" s="2" t="str">
        <f>"0962325488    "</f>
        <v xml:space="preserve">0962325488    </v>
      </c>
      <c r="G29" s="2" t="str">
        <f>"奈須守哉"</f>
        <v>奈須守哉</v>
      </c>
      <c r="H29" s="2" t="str">
        <f>"H06.04.05"</f>
        <v>H06.04.05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</row>
    <row r="30" spans="2:15" x14ac:dyDescent="0.2">
      <c r="B30" s="2" t="str">
        <f t="shared" si="1"/>
        <v>菊池</v>
      </c>
      <c r="C30" s="2" t="str">
        <f>"北川歯科医院"</f>
        <v>北川歯科医院</v>
      </c>
      <c r="D30" s="2" t="str">
        <f>"869-1101"</f>
        <v>869-1101</v>
      </c>
      <c r="E30" s="2" t="s">
        <v>38</v>
      </c>
      <c r="F30" s="2" t="str">
        <f>"0962324418    "</f>
        <v xml:space="preserve">0962324418    </v>
      </c>
      <c r="G30" s="2" t="str">
        <f>"北川隆之"</f>
        <v>北川隆之</v>
      </c>
      <c r="H30" s="2" t="str">
        <f>"H07.04.07"</f>
        <v>H07.04.07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</row>
    <row r="31" spans="2:15" x14ac:dyDescent="0.2">
      <c r="B31" s="2" t="str">
        <f t="shared" si="1"/>
        <v>菊池</v>
      </c>
      <c r="C31" s="2" t="str">
        <f>"健光歯科"</f>
        <v>健光歯科</v>
      </c>
      <c r="D31" s="2" t="str">
        <f>"869-1108"</f>
        <v>869-1108</v>
      </c>
      <c r="E31" s="2" t="s">
        <v>39</v>
      </c>
      <c r="F31" s="2" t="str">
        <f>"0962331096    "</f>
        <v xml:space="preserve">0962331096    </v>
      </c>
      <c r="G31" s="2" t="str">
        <f>"医療法人　あさひ会"</f>
        <v>医療法人　あさひ会</v>
      </c>
      <c r="H31" s="2" t="str">
        <f>"H16.05.27"</f>
        <v>H16.05.27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</row>
    <row r="32" spans="2:15" x14ac:dyDescent="0.2">
      <c r="B32" s="2" t="str">
        <f t="shared" si="1"/>
        <v>菊池</v>
      </c>
      <c r="C32" s="2" t="str">
        <f>"スマイルライン歯科クリニック"</f>
        <v>スマイルライン歯科クリニック</v>
      </c>
      <c r="D32" s="2" t="str">
        <f>"861-1108"</f>
        <v>861-1108</v>
      </c>
      <c r="E32" s="2" t="s">
        <v>40</v>
      </c>
      <c r="F32" s="2" t="str">
        <f>"0962331182    "</f>
        <v xml:space="preserve">0962331182    </v>
      </c>
      <c r="G32" s="2" t="str">
        <f>"医療法人　鏡会"</f>
        <v>医療法人　鏡会</v>
      </c>
      <c r="H32" s="2" t="str">
        <f>"H16.05.18"</f>
        <v>H16.05.18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</row>
    <row r="33" spans="2:15" x14ac:dyDescent="0.2">
      <c r="B33" s="2" t="str">
        <f t="shared" si="1"/>
        <v>菊池</v>
      </c>
      <c r="C33" s="2" t="str">
        <f>"高田歯科クリニック"</f>
        <v>高田歯科クリニック</v>
      </c>
      <c r="D33" s="2" t="str">
        <f>"869-1114"</f>
        <v>869-1114</v>
      </c>
      <c r="E33" s="2" t="s">
        <v>41</v>
      </c>
      <c r="F33" s="2" t="str">
        <f>"0963377139    "</f>
        <v xml:space="preserve">0963377139    </v>
      </c>
      <c r="G33" s="2" t="str">
        <f>"高田周二"</f>
        <v>高田周二</v>
      </c>
      <c r="H33" s="2" t="str">
        <f>"H12.11.07"</f>
        <v>H12.11.07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</row>
    <row r="34" spans="2:15" x14ac:dyDescent="0.2">
      <c r="B34" s="2" t="str">
        <f t="shared" si="1"/>
        <v>菊池</v>
      </c>
      <c r="C34" s="2" t="str">
        <f>"なかがわ歯科医院"</f>
        <v>なかがわ歯科医院</v>
      </c>
      <c r="D34" s="2" t="str">
        <f>"869-1101"</f>
        <v>869-1101</v>
      </c>
      <c r="E34" s="2" t="s">
        <v>42</v>
      </c>
      <c r="F34" s="2" t="str">
        <f>"0962324755    "</f>
        <v xml:space="preserve">0962324755    </v>
      </c>
      <c r="G34" s="2" t="str">
        <f>"中川　徹"</f>
        <v>中川　徹</v>
      </c>
      <c r="H34" s="2" t="str">
        <f>"H14.10.01"</f>
        <v>H14.10.01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</row>
    <row r="35" spans="2:15" x14ac:dyDescent="0.2">
      <c r="B35" s="2" t="str">
        <f t="shared" si="1"/>
        <v>菊池</v>
      </c>
      <c r="C35" s="2" t="str">
        <f>"光の森歯科クリニック"</f>
        <v>光の森歯科クリニック</v>
      </c>
      <c r="D35" s="2" t="str">
        <f>"869-1108"</f>
        <v>869-1108</v>
      </c>
      <c r="E35" s="2" t="s">
        <v>43</v>
      </c>
      <c r="F35" s="2" t="str">
        <f>"0963402611    "</f>
        <v xml:space="preserve">0963402611    </v>
      </c>
      <c r="G35" s="2" t="str">
        <f>"藤田秀也"</f>
        <v>藤田秀也</v>
      </c>
      <c r="H35" s="2" t="str">
        <f>"H15.06.19"</f>
        <v>H15.06.19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</row>
    <row r="36" spans="2:15" x14ac:dyDescent="0.2">
      <c r="B36" s="2" t="str">
        <f t="shared" si="1"/>
        <v>菊池</v>
      </c>
      <c r="C36" s="2" t="str">
        <f>"南歯科医院"</f>
        <v>南歯科医院</v>
      </c>
      <c r="D36" s="2" t="str">
        <f>"869-1101"</f>
        <v>869-1101</v>
      </c>
      <c r="E36" s="2" t="s">
        <v>44</v>
      </c>
      <c r="F36" s="2" t="str">
        <f>"0962327541    "</f>
        <v xml:space="preserve">0962327541    </v>
      </c>
      <c r="G36" s="2" t="str">
        <f>"南　信之"</f>
        <v>南　信之</v>
      </c>
      <c r="H36" s="2" t="str">
        <f>"H06.02.03"</f>
        <v>H06.02.03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</row>
    <row r="37" spans="2:15" x14ac:dyDescent="0.2">
      <c r="B37" s="2" t="str">
        <f t="shared" si="1"/>
        <v>菊池</v>
      </c>
      <c r="C37" s="2" t="str">
        <f>"山口歯科医院"</f>
        <v>山口歯科医院</v>
      </c>
      <c r="D37" s="2" t="str">
        <f>"869-1101"</f>
        <v>869-1101</v>
      </c>
      <c r="E37" s="2" t="s">
        <v>45</v>
      </c>
      <c r="F37" s="2" t="str">
        <f>"0962324456    "</f>
        <v xml:space="preserve">0962324456    </v>
      </c>
      <c r="G37" s="2" t="str">
        <f>"山口治利"</f>
        <v>山口治利</v>
      </c>
      <c r="H37" s="2" t="str">
        <f>"S60.12.11"</f>
        <v>S60.12.11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</row>
    <row r="38" spans="2:15" x14ac:dyDescent="0.2">
      <c r="B38" s="2" t="str">
        <f t="shared" si="1"/>
        <v>菊池</v>
      </c>
      <c r="C38" s="2" t="str">
        <f>"よねむら歯科医院"</f>
        <v>よねむら歯科医院</v>
      </c>
      <c r="D38" s="2" t="str">
        <f>"869-1112"</f>
        <v>869-1112</v>
      </c>
      <c r="E38" s="2" t="s">
        <v>46</v>
      </c>
      <c r="F38" s="2" t="str">
        <f>"0963373377    "</f>
        <v xml:space="preserve">0963373377    </v>
      </c>
      <c r="G38" s="2" t="str">
        <f>"米村優一郎"</f>
        <v>米村優一郎</v>
      </c>
      <c r="H38" s="2" t="str">
        <f>"H03.10.31"</f>
        <v>H03.10.31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</row>
    <row r="39" spans="2:15" x14ac:dyDescent="0.2">
      <c r="B39" s="2" t="str">
        <f t="shared" si="1"/>
        <v>菊池</v>
      </c>
      <c r="C39" s="2" t="str">
        <f>"城歯科医院"</f>
        <v>城歯科医院</v>
      </c>
      <c r="D39" s="2" t="str">
        <f>"861-1114"</f>
        <v>861-1114</v>
      </c>
      <c r="E39" s="2" t="s">
        <v>47</v>
      </c>
      <c r="F39" s="2" t="str">
        <f>"0962486464    "</f>
        <v xml:space="preserve">0962486464    </v>
      </c>
      <c r="G39" s="2" t="str">
        <f>"城　直秀"</f>
        <v>城　直秀</v>
      </c>
      <c r="H39" s="2" t="str">
        <f>"H01.06.27"</f>
        <v>H01.06.27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</row>
    <row r="40" spans="2:15" x14ac:dyDescent="0.2">
      <c r="B40" s="2" t="str">
        <f t="shared" si="1"/>
        <v>菊池</v>
      </c>
      <c r="C40" s="2" t="str">
        <f>"すずかけ台歯科医院"</f>
        <v>すずかけ台歯科医院</v>
      </c>
      <c r="D40" s="2" t="str">
        <f>"861-1115"</f>
        <v>861-1115</v>
      </c>
      <c r="E40" s="2" t="s">
        <v>48</v>
      </c>
      <c r="F40" s="2" t="str">
        <f>"0962488601    "</f>
        <v xml:space="preserve">0962488601    </v>
      </c>
      <c r="G40" s="2" t="str">
        <f>"高木孝祥"</f>
        <v>高木孝祥</v>
      </c>
      <c r="H40" s="2" t="str">
        <f>"H08.04.09"</f>
        <v>H08.04.09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</row>
    <row r="41" spans="2:15" x14ac:dyDescent="0.2">
      <c r="B41" s="2" t="str">
        <f t="shared" si="1"/>
        <v>菊池</v>
      </c>
      <c r="C41" s="2" t="str">
        <f>"わたなべ歯科医院"</f>
        <v>わたなべ歯科医院</v>
      </c>
      <c r="D41" s="2" t="str">
        <f>"861-1112"</f>
        <v>861-1112</v>
      </c>
      <c r="E41" s="2" t="s">
        <v>49</v>
      </c>
      <c r="F41" s="2" t="str">
        <f>"0962155701    "</f>
        <v xml:space="preserve">0962155701    </v>
      </c>
      <c r="G41" s="2" t="str">
        <f>"渡邊敬之"</f>
        <v>渡邊敬之</v>
      </c>
      <c r="H41" s="2" t="str">
        <f>"H14.06.13"</f>
        <v>H14.06.13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</row>
    <row r="42" spans="2:15" x14ac:dyDescent="0.2">
      <c r="B42" s="2" t="str">
        <f t="shared" si="1"/>
        <v>菊池</v>
      </c>
      <c r="C42" s="2" t="str">
        <f>"たかはし歯科医院"</f>
        <v>たかはし歯科医院</v>
      </c>
      <c r="D42" s="2" t="str">
        <f>"861-1201"</f>
        <v>861-1201</v>
      </c>
      <c r="E42" s="2" t="s">
        <v>50</v>
      </c>
      <c r="F42" s="2" t="str">
        <f>"0968385199    "</f>
        <v xml:space="preserve">0968385199    </v>
      </c>
      <c r="G42" s="2" t="str">
        <f>"医療法人　永裕会"</f>
        <v>医療法人　永裕会</v>
      </c>
      <c r="H42" s="2" t="str">
        <f>"H09.06.01"</f>
        <v>H09.06.01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</row>
    <row r="43" spans="2:15" x14ac:dyDescent="0.2">
      <c r="B43" s="2" t="str">
        <f t="shared" si="1"/>
        <v>菊池</v>
      </c>
      <c r="C43" s="2" t="str">
        <f>"橋本歯科医院"</f>
        <v>橋本歯科医院</v>
      </c>
      <c r="D43" s="2" t="str">
        <f>"861-1205"</f>
        <v>861-1205</v>
      </c>
      <c r="E43" s="2" t="s">
        <v>51</v>
      </c>
      <c r="F43" s="2" t="str">
        <f>"0968386018    "</f>
        <v xml:space="preserve">0968386018    </v>
      </c>
      <c r="G43" s="2" t="str">
        <f>"橋本陽壽"</f>
        <v>橋本陽壽</v>
      </c>
      <c r="H43" s="2" t="str">
        <f>"H05.03.17"</f>
        <v>H05.03.17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</row>
    <row r="44" spans="2:15" x14ac:dyDescent="0.2">
      <c r="B44" s="2" t="str">
        <f t="shared" si="1"/>
        <v>菊池</v>
      </c>
      <c r="C44" s="2" t="str">
        <f>"もとだ歯科医院"</f>
        <v>もとだ歯科医院</v>
      </c>
      <c r="D44" s="2" t="str">
        <f>"861-1201"</f>
        <v>861-1201</v>
      </c>
      <c r="E44" s="2" t="s">
        <v>52</v>
      </c>
      <c r="F44" s="2" t="str">
        <f>"0968386373    "</f>
        <v xml:space="preserve">0968386373    </v>
      </c>
      <c r="G44" s="2" t="str">
        <f>"医療法人　孔仁会"</f>
        <v>医療法人　孔仁会</v>
      </c>
      <c r="H44" s="2" t="str">
        <f>"H10.12.01"</f>
        <v>H10.12.01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</row>
    <row r="45" spans="2:15" x14ac:dyDescent="0.2">
      <c r="B45" s="2" t="str">
        <f t="shared" si="1"/>
        <v>菊池</v>
      </c>
      <c r="C45" s="2" t="str">
        <f>"あくね歯科医院"</f>
        <v>あくね歯科医院</v>
      </c>
      <c r="D45" s="2" t="str">
        <f>"861-1104"</f>
        <v>861-1104</v>
      </c>
      <c r="E45" s="2" t="s">
        <v>53</v>
      </c>
      <c r="F45" s="2" t="str">
        <f>"0962426480    "</f>
        <v xml:space="preserve">0962426480    </v>
      </c>
      <c r="G45" s="2" t="str">
        <f>"阿久根秀典"</f>
        <v>阿久根秀典</v>
      </c>
      <c r="H45" s="2" t="str">
        <f>"H09.07.17"</f>
        <v>H09.07.17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</row>
    <row r="46" spans="2:15" x14ac:dyDescent="0.2">
      <c r="B46" s="2" t="str">
        <f t="shared" si="1"/>
        <v>菊池</v>
      </c>
      <c r="C46" s="2" t="str">
        <f>"今村歯科医院"</f>
        <v>今村歯科医院</v>
      </c>
      <c r="D46" s="2" t="str">
        <f>"861-1102"</f>
        <v>861-1102</v>
      </c>
      <c r="E46" s="2" t="s">
        <v>54</v>
      </c>
      <c r="F46" s="2" t="str">
        <f>"0963452264    "</f>
        <v xml:space="preserve">0963452264    </v>
      </c>
      <c r="G46" s="2" t="str">
        <f>"医療法人　社団　今村会"</f>
        <v>医療法人　社団　今村会</v>
      </c>
      <c r="H46" s="2" t="str">
        <f>"H15.11.01"</f>
        <v>H15.11.01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</row>
    <row r="47" spans="2:15" x14ac:dyDescent="0.2">
      <c r="B47" s="2" t="str">
        <f t="shared" si="1"/>
        <v>菊池</v>
      </c>
      <c r="C47" s="2" t="str">
        <f>"ちぢいわ歯科クリニック"</f>
        <v>ちぢいわ歯科クリニック</v>
      </c>
      <c r="D47" s="2" t="str">
        <f>"861-1102"</f>
        <v>861-1102</v>
      </c>
      <c r="E47" s="2" t="s">
        <v>55</v>
      </c>
      <c r="F47" s="2" t="str">
        <f>"0962424681    "</f>
        <v xml:space="preserve">0962424681    </v>
      </c>
      <c r="G47" s="2" t="str">
        <f>"千々岩　俊之"</f>
        <v>千々岩　俊之</v>
      </c>
      <c r="H47" s="2" t="str">
        <f>"H12.09.20"</f>
        <v>H12.09.20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</row>
    <row r="48" spans="2:15" x14ac:dyDescent="0.2">
      <c r="B48" s="2" t="str">
        <f t="shared" si="1"/>
        <v>菊池</v>
      </c>
      <c r="C48" s="2" t="str">
        <f>"永野歯科医院"</f>
        <v>永野歯科医院</v>
      </c>
      <c r="D48" s="2" t="str">
        <f>"861-1102"</f>
        <v>861-1102</v>
      </c>
      <c r="E48" s="2" t="s">
        <v>56</v>
      </c>
      <c r="F48" s="2" t="str">
        <f>"0963430701    "</f>
        <v xml:space="preserve">0963430701    </v>
      </c>
      <c r="G48" s="2" t="str">
        <f>"永野芳雄"</f>
        <v>永野芳雄</v>
      </c>
      <c r="H48" s="2" t="str">
        <f>"S54.12.17"</f>
        <v>S54.12.17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</row>
    <row r="49" spans="2:15" x14ac:dyDescent="0.2">
      <c r="B49" s="2" t="str">
        <f t="shared" si="1"/>
        <v>菊池</v>
      </c>
      <c r="C49" s="2" t="str">
        <f>"原田歯科医院"</f>
        <v>原田歯科医院</v>
      </c>
      <c r="D49" s="2" t="str">
        <f>"861-1104"</f>
        <v>861-1104</v>
      </c>
      <c r="E49" s="2" t="s">
        <v>57</v>
      </c>
      <c r="F49" s="2" t="str">
        <f>"0962423285    "</f>
        <v xml:space="preserve">0962423285    </v>
      </c>
      <c r="G49" s="2" t="str">
        <f>"原田　秀一郎"</f>
        <v>原田　秀一郎</v>
      </c>
      <c r="H49" s="2" t="str">
        <f>"S58.06.25"</f>
        <v>S58.06.25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</row>
    <row r="50" spans="2:15" x14ac:dyDescent="0.2">
      <c r="B50" s="2" t="str">
        <f t="shared" si="1"/>
        <v>菊池</v>
      </c>
      <c r="C50" s="2" t="str">
        <f>"たなか歯科医院"</f>
        <v>たなか歯科医院</v>
      </c>
      <c r="D50" s="2" t="str">
        <f>"861-1112"</f>
        <v>861-1112</v>
      </c>
      <c r="E50" s="2" t="s">
        <v>58</v>
      </c>
      <c r="F50" s="2" t="str">
        <f>"0962483620    "</f>
        <v xml:space="preserve">0962483620    </v>
      </c>
      <c r="G50" s="2" t="str">
        <f>"医療法人社団秀香会"</f>
        <v>医療法人社団秀香会</v>
      </c>
      <c r="H50" s="2" t="str">
        <f>"H18.01.01"</f>
        <v>H18.01.01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</row>
    <row r="51" spans="2:15" x14ac:dyDescent="0.2">
      <c r="B51" s="2" t="str">
        <f t="shared" si="1"/>
        <v>菊池</v>
      </c>
      <c r="C51" s="2" t="str">
        <f>"さかい歯科クリニック"</f>
        <v>さかい歯科クリニック</v>
      </c>
      <c r="D51" s="2" t="str">
        <f>"869-1108"</f>
        <v>869-1108</v>
      </c>
      <c r="E51" s="2" t="s">
        <v>59</v>
      </c>
      <c r="F51" s="2" t="str">
        <f>"0962848433    "</f>
        <v xml:space="preserve">0962848433    </v>
      </c>
      <c r="G51" s="2" t="str">
        <f>"境　忠彦"</f>
        <v>境　忠彦</v>
      </c>
      <c r="H51" s="2" t="str">
        <f>"H18.09.15"</f>
        <v>H18.09.15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</row>
    <row r="52" spans="2:15" x14ac:dyDescent="0.2">
      <c r="B52" s="2" t="str">
        <f t="shared" si="1"/>
        <v>菊池</v>
      </c>
      <c r="C52" s="2" t="str">
        <f>"つつみ歯科医院"</f>
        <v>つつみ歯科医院</v>
      </c>
      <c r="D52" s="2" t="str">
        <f>"861-1306"</f>
        <v>861-1306</v>
      </c>
      <c r="E52" s="2" t="s">
        <v>60</v>
      </c>
      <c r="F52" s="2" t="str">
        <f>"0968413434    "</f>
        <v xml:space="preserve">0968413434    </v>
      </c>
      <c r="G52" s="2" t="str">
        <f>"塘　英亮"</f>
        <v>塘　英亮</v>
      </c>
      <c r="H52" s="2" t="str">
        <f>"H19.05.10"</f>
        <v>H19.05.10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</row>
    <row r="53" spans="2:15" x14ac:dyDescent="0.2">
      <c r="B53" s="2" t="str">
        <f t="shared" si="1"/>
        <v>菊池</v>
      </c>
      <c r="C53" s="2" t="str">
        <f>"中山歯科医院"</f>
        <v>中山歯科医院</v>
      </c>
      <c r="D53" s="2" t="str">
        <f>"861-1212"</f>
        <v>861-1212</v>
      </c>
      <c r="E53" s="2" t="s">
        <v>61</v>
      </c>
      <c r="F53" s="2" t="str">
        <f>"0968382401    "</f>
        <v xml:space="preserve">0968382401    </v>
      </c>
      <c r="G53" s="2" t="str">
        <f>"医療法人歯魂会"</f>
        <v>医療法人歯魂会</v>
      </c>
      <c r="H53" s="2" t="str">
        <f>"H19.10.01"</f>
        <v>H19.10.01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</row>
    <row r="54" spans="2:15" x14ac:dyDescent="0.2">
      <c r="B54" s="2" t="str">
        <f t="shared" si="1"/>
        <v>菊池</v>
      </c>
      <c r="C54" s="2" t="str">
        <f>"いちかわ歯科クリニック"</f>
        <v>いちかわ歯科クリニック</v>
      </c>
      <c r="D54" s="2" t="str">
        <f>"869-1109"</f>
        <v>869-1109</v>
      </c>
      <c r="E54" s="2" t="s">
        <v>62</v>
      </c>
      <c r="F54" s="2" t="str">
        <f>"0962328088    "</f>
        <v xml:space="preserve">0962328088    </v>
      </c>
      <c r="G54" s="2" t="str">
        <f>"市川康裕"</f>
        <v>市川康裕</v>
      </c>
      <c r="H54" s="2" t="str">
        <f>"H19.10.18"</f>
        <v>H19.10.18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</row>
    <row r="55" spans="2:15" x14ac:dyDescent="0.2">
      <c r="B55" s="2" t="str">
        <f t="shared" ref="B55:B86" si="2">"菊池"</f>
        <v>菊池</v>
      </c>
      <c r="C55" s="2" t="str">
        <f>"はるの歯科クリニック"</f>
        <v>はるの歯科クリニック</v>
      </c>
      <c r="D55" s="2" t="str">
        <f>"861-1102"</f>
        <v>861-1102</v>
      </c>
      <c r="E55" s="2" t="s">
        <v>63</v>
      </c>
      <c r="F55" s="2" t="str">
        <f>"0963388100    "</f>
        <v xml:space="preserve">0963388100    </v>
      </c>
      <c r="G55" s="2" t="str">
        <f>"春野　雅俊"</f>
        <v>春野　雅俊</v>
      </c>
      <c r="H55" s="2" t="str">
        <f>"H20.04.16"</f>
        <v>H20.04.16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</row>
    <row r="56" spans="2:15" x14ac:dyDescent="0.2">
      <c r="B56" s="2" t="str">
        <f t="shared" si="2"/>
        <v>菊池</v>
      </c>
      <c r="C56" s="2" t="str">
        <f>"たかやまデンタルクリニック"</f>
        <v>たかやまデンタルクリニック</v>
      </c>
      <c r="D56" s="2" t="str">
        <f>"869-1235"</f>
        <v>869-1235</v>
      </c>
      <c r="E56" s="2" t="s">
        <v>64</v>
      </c>
      <c r="F56" s="2" t="str">
        <f>"0962948020    "</f>
        <v xml:space="preserve">0962948020    </v>
      </c>
      <c r="G56" s="2" t="str">
        <f>"髙山久美"</f>
        <v>髙山久美</v>
      </c>
      <c r="H56" s="2" t="str">
        <f>"H20.05.15"</f>
        <v>H20.05.15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</row>
    <row r="57" spans="2:15" x14ac:dyDescent="0.2">
      <c r="B57" s="2" t="str">
        <f t="shared" si="2"/>
        <v>菊池</v>
      </c>
      <c r="C57" s="2" t="str">
        <f>"ひろ歯科クリニック"</f>
        <v>ひろ歯科クリニック</v>
      </c>
      <c r="D57" s="2" t="str">
        <f>"869-1103"</f>
        <v>869-1103</v>
      </c>
      <c r="E57" s="2" t="s">
        <v>65</v>
      </c>
      <c r="F57" s="2" t="str">
        <f>"0962853456    "</f>
        <v xml:space="preserve">0962853456    </v>
      </c>
      <c r="G57" s="2" t="str">
        <f>"樋口博一"</f>
        <v>樋口博一</v>
      </c>
      <c r="H57" s="2" t="str">
        <f>"H21.05.01"</f>
        <v>H21.05.01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</row>
    <row r="58" spans="2:15" x14ac:dyDescent="0.2">
      <c r="B58" s="2" t="str">
        <f t="shared" si="2"/>
        <v>菊池</v>
      </c>
      <c r="C58" s="2" t="str">
        <f>"伊藤歯科医院"</f>
        <v>伊藤歯科医院</v>
      </c>
      <c r="D58" s="2" t="str">
        <f>"861-1112"</f>
        <v>861-1112</v>
      </c>
      <c r="E58" s="2" t="s">
        <v>66</v>
      </c>
      <c r="F58" s="2" t="str">
        <f>"0962485688    "</f>
        <v xml:space="preserve">0962485688    </v>
      </c>
      <c r="G58" s="2" t="str">
        <f>"伊藤　明彦"</f>
        <v>伊藤　明彦</v>
      </c>
      <c r="H58" s="2" t="str">
        <f>"H21.05.01"</f>
        <v>H21.05.01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</row>
    <row r="59" spans="2:15" x14ac:dyDescent="0.2">
      <c r="B59" s="2" t="str">
        <f t="shared" si="2"/>
        <v>菊池</v>
      </c>
      <c r="C59" s="2" t="str">
        <f>"サトウデンタルクリニック"</f>
        <v>サトウデンタルクリニック</v>
      </c>
      <c r="D59" s="2" t="str">
        <f>"861-1115"</f>
        <v>861-1115</v>
      </c>
      <c r="E59" s="2" t="s">
        <v>67</v>
      </c>
      <c r="F59" s="2" t="str">
        <f>"0962487155    "</f>
        <v xml:space="preserve">0962487155    </v>
      </c>
      <c r="G59" s="2" t="str">
        <f>"佐藤弘法"</f>
        <v>佐藤弘法</v>
      </c>
      <c r="H59" s="2" t="str">
        <f>"H21.12.16"</f>
        <v>H21.12.16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</row>
    <row r="60" spans="2:15" x14ac:dyDescent="0.2">
      <c r="B60" s="2" t="str">
        <f t="shared" si="2"/>
        <v>菊池</v>
      </c>
      <c r="C60" s="2" t="str">
        <f>"いとう歯科クリニック"</f>
        <v>いとう歯科クリニック</v>
      </c>
      <c r="D60" s="2" t="str">
        <f>"869-1101"</f>
        <v>869-1101</v>
      </c>
      <c r="E60" s="2" t="s">
        <v>68</v>
      </c>
      <c r="F60" s="2" t="str">
        <f>"0962855882    "</f>
        <v xml:space="preserve">0962855882    </v>
      </c>
      <c r="G60" s="2" t="str">
        <f>"伊藤　守"</f>
        <v>伊藤　守</v>
      </c>
      <c r="H60" s="2" t="str">
        <f>"H23.10.18"</f>
        <v>H23.10.18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</row>
    <row r="61" spans="2:15" x14ac:dyDescent="0.2">
      <c r="B61" s="2" t="str">
        <f t="shared" si="2"/>
        <v>菊池</v>
      </c>
      <c r="C61" s="2" t="str">
        <f>"Ｆ・デンタルクリニック"</f>
        <v>Ｆ・デンタルクリニック</v>
      </c>
      <c r="D61" s="2" t="str">
        <f>"869-1108"</f>
        <v>869-1108</v>
      </c>
      <c r="E61" s="2" t="s">
        <v>69</v>
      </c>
      <c r="F61" s="2" t="str">
        <f>"0962335118    "</f>
        <v xml:space="preserve">0962335118    </v>
      </c>
      <c r="G61" s="2" t="str">
        <f>"医療法人　恵富会"</f>
        <v>医療法人　恵富会</v>
      </c>
      <c r="H61" s="2" t="str">
        <f>"H24.12.01"</f>
        <v>H24.12.01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</row>
    <row r="62" spans="2:15" x14ac:dyDescent="0.2">
      <c r="B62" s="2" t="str">
        <f t="shared" si="2"/>
        <v>菊池</v>
      </c>
      <c r="C62" s="2" t="str">
        <f>"高木歯科クリニック"</f>
        <v>高木歯科クリニック</v>
      </c>
      <c r="D62" s="2" t="str">
        <f>"861-1331"</f>
        <v>861-1331</v>
      </c>
      <c r="E62" s="2" t="s">
        <v>70</v>
      </c>
      <c r="F62" s="2" t="str">
        <f>"0968251963    "</f>
        <v xml:space="preserve">0968251963    </v>
      </c>
      <c r="G62" s="2" t="str">
        <f>"医療法人社団公元会"</f>
        <v>医療法人社団公元会</v>
      </c>
      <c r="H62" s="2" t="str">
        <f>"H25.04.01"</f>
        <v>H25.04.01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</row>
    <row r="63" spans="2:15" x14ac:dyDescent="0.2">
      <c r="B63" s="2" t="str">
        <f t="shared" si="2"/>
        <v>菊池</v>
      </c>
      <c r="C63" s="2" t="str">
        <f>"みさきの歯科医院"</f>
        <v>みさきの歯科医院</v>
      </c>
      <c r="D63" s="2" t="str">
        <f>"869-1237"</f>
        <v>869-1237</v>
      </c>
      <c r="E63" s="2" t="s">
        <v>71</v>
      </c>
      <c r="F63" s="2" t="str">
        <f>"0962854182    "</f>
        <v xml:space="preserve">0962854182    </v>
      </c>
      <c r="G63" s="2" t="str">
        <f>"前澤　浩"</f>
        <v>前澤　浩</v>
      </c>
      <c r="H63" s="2" t="str">
        <f>"H25.04.16"</f>
        <v>H25.04.16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</row>
    <row r="64" spans="2:15" x14ac:dyDescent="0.2">
      <c r="B64" s="2" t="str">
        <f t="shared" si="2"/>
        <v>菊池</v>
      </c>
      <c r="C64" s="2" t="str">
        <f>"たけうち歯科医院"</f>
        <v>たけうち歯科医院</v>
      </c>
      <c r="D64" s="2" t="str">
        <f>"861-1102"</f>
        <v>861-1102</v>
      </c>
      <c r="E64" s="2" t="s">
        <v>72</v>
      </c>
      <c r="F64" s="2" t="str">
        <f>"0963425285    "</f>
        <v xml:space="preserve">0963425285    </v>
      </c>
      <c r="G64" s="2" t="str">
        <f>"竹内　清嗣"</f>
        <v>竹内　清嗣</v>
      </c>
      <c r="H64" s="2" t="str">
        <f>"H26.03.18"</f>
        <v>H26.03.18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</row>
    <row r="65" spans="2:15" x14ac:dyDescent="0.2">
      <c r="B65" s="2" t="str">
        <f t="shared" si="2"/>
        <v>菊池</v>
      </c>
      <c r="C65" s="2" t="str">
        <f>"たけした歯科"</f>
        <v>たけした歯科</v>
      </c>
      <c r="D65" s="2" t="str">
        <f>"869-1112"</f>
        <v>869-1112</v>
      </c>
      <c r="E65" s="2" t="s">
        <v>73</v>
      </c>
      <c r="F65" s="2" t="str">
        <f>"0963397708    "</f>
        <v xml:space="preserve">0963397708    </v>
      </c>
      <c r="G65" s="2" t="str">
        <f>"竹下　修二"</f>
        <v>竹下　修二</v>
      </c>
      <c r="H65" s="2" t="str">
        <f>"H26.08.18"</f>
        <v>H26.08.18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</row>
    <row r="66" spans="2:15" x14ac:dyDescent="0.2">
      <c r="B66" s="2" t="str">
        <f t="shared" si="2"/>
        <v>菊池</v>
      </c>
      <c r="C66" s="2" t="str">
        <f>"もみじ歯科医院"</f>
        <v>もみじ歯科医院</v>
      </c>
      <c r="D66" s="2" t="str">
        <f>"861-1323"</f>
        <v>861-1323</v>
      </c>
      <c r="E66" s="2" t="s">
        <v>74</v>
      </c>
      <c r="F66" s="2" t="str">
        <f>"0968236800    "</f>
        <v xml:space="preserve">0968236800    </v>
      </c>
      <c r="G66" s="2" t="str">
        <f>"医療法人　壮仁会"</f>
        <v>医療法人　壮仁会</v>
      </c>
      <c r="H66" s="2" t="str">
        <f>"H27.06.01"</f>
        <v>H27.06.01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</row>
    <row r="67" spans="2:15" x14ac:dyDescent="0.2">
      <c r="B67" s="2" t="str">
        <f t="shared" si="2"/>
        <v>菊池</v>
      </c>
      <c r="C67" s="2" t="str">
        <f>"徳治会歯科医院合志"</f>
        <v>徳治会歯科医院合志</v>
      </c>
      <c r="D67" s="2" t="str">
        <f>"861-1103"</f>
        <v>861-1103</v>
      </c>
      <c r="E67" s="2" t="s">
        <v>75</v>
      </c>
      <c r="F67" s="2" t="str">
        <f>"0962421891    "</f>
        <v xml:space="preserve">0962421891    </v>
      </c>
      <c r="G67" s="2" t="str">
        <f>"医療法人社団　徳治会"</f>
        <v>医療法人社団　徳治会</v>
      </c>
      <c r="H67" s="2" t="str">
        <f>"H27.08.17"</f>
        <v>H27.08.17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</row>
    <row r="68" spans="2:15" x14ac:dyDescent="0.2">
      <c r="B68" s="2" t="str">
        <f t="shared" si="2"/>
        <v>菊池</v>
      </c>
      <c r="C68" s="2" t="str">
        <f>"クローバー歯科・こども歯科"</f>
        <v>クローバー歯科・こども歯科</v>
      </c>
      <c r="D68" s="2" t="str">
        <f>"869-1235"</f>
        <v>869-1235</v>
      </c>
      <c r="E68" s="2" t="s">
        <v>76</v>
      </c>
      <c r="F68" s="2" t="str">
        <f>"0962946480    "</f>
        <v xml:space="preserve">0962946480    </v>
      </c>
      <c r="G68" s="2" t="str">
        <f>"医療法人よつば会"</f>
        <v>医療法人よつば会</v>
      </c>
      <c r="H68" s="2" t="str">
        <f>"H28.10.01"</f>
        <v>H28.10.01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</row>
    <row r="69" spans="2:15" x14ac:dyDescent="0.2">
      <c r="B69" s="2" t="str">
        <f t="shared" si="2"/>
        <v>菊池</v>
      </c>
      <c r="C69" s="2" t="str">
        <f>"ほまれ歯科クリニック"</f>
        <v>ほまれ歯科クリニック</v>
      </c>
      <c r="D69" s="2" t="str">
        <f>"861-1351"</f>
        <v>861-1351</v>
      </c>
      <c r="E69" s="2" t="s">
        <v>77</v>
      </c>
      <c r="F69" s="2" t="str">
        <f>"0968418841    "</f>
        <v xml:space="preserve">0968418841    </v>
      </c>
      <c r="G69" s="2" t="str">
        <f>"医療法人グリーンクローバー"</f>
        <v>医療法人グリーンクローバー</v>
      </c>
      <c r="H69" s="2" t="str">
        <f>"H29.02.16"</f>
        <v>H29.02.16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</row>
    <row r="70" spans="2:15" x14ac:dyDescent="0.2">
      <c r="B70" s="2" t="str">
        <f t="shared" si="2"/>
        <v>菊池</v>
      </c>
      <c r="C70" s="2" t="str">
        <f>"原賀歯科医院"</f>
        <v>原賀歯科医院</v>
      </c>
      <c r="D70" s="2" t="str">
        <f>"861-1306"</f>
        <v>861-1306</v>
      </c>
      <c r="E70" s="2" t="s">
        <v>78</v>
      </c>
      <c r="F70" s="2" t="str">
        <f>"0968250202    "</f>
        <v xml:space="preserve">0968250202    </v>
      </c>
      <c r="G70" s="2" t="str">
        <f>"今泉真理子"</f>
        <v>今泉真理子</v>
      </c>
      <c r="H70" s="2" t="str">
        <f>"H29.03.08"</f>
        <v>H29.03.08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</row>
    <row r="71" spans="2:15" x14ac:dyDescent="0.2">
      <c r="B71" s="2" t="str">
        <f t="shared" si="2"/>
        <v>菊池</v>
      </c>
      <c r="C71" s="2" t="str">
        <f>"にじの森歯科クリニック"</f>
        <v>にじの森歯科クリニック</v>
      </c>
      <c r="D71" s="2" t="str">
        <f>"869-1112"</f>
        <v>869-1112</v>
      </c>
      <c r="E71" s="2" t="s">
        <v>79</v>
      </c>
      <c r="F71" s="2" t="str">
        <f>"0963398118    "</f>
        <v xml:space="preserve">0963398118    </v>
      </c>
      <c r="G71" s="2" t="str">
        <f>"医療法人ＭＡＲＵＴＡ　ＤＥＮＴＡＬ　ＯＦＦＩＣＥ"</f>
        <v>医療法人ＭＡＲＵＴＡ　ＤＥＮＴＡＬ　ＯＦＦＩＣＥ</v>
      </c>
      <c r="H71" s="2" t="str">
        <f>"H29.06.01"</f>
        <v>H29.06.01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</row>
    <row r="72" spans="2:15" x14ac:dyDescent="0.2">
      <c r="B72" s="2" t="str">
        <f t="shared" si="2"/>
        <v>菊池</v>
      </c>
      <c r="C72" s="2" t="str">
        <f>"菊南ハーモニー歯科クリニック"</f>
        <v>菊南ハーモニー歯科クリニック</v>
      </c>
      <c r="D72" s="2" t="str">
        <f>"861-1102"</f>
        <v>861-1102</v>
      </c>
      <c r="E72" s="2" t="s">
        <v>80</v>
      </c>
      <c r="F72" s="2" t="str">
        <f>"0963411182    "</f>
        <v xml:space="preserve">0963411182    </v>
      </c>
      <c r="G72" s="2" t="str">
        <f>"医療法人如月会"</f>
        <v>医療法人如月会</v>
      </c>
      <c r="H72" s="2" t="str">
        <f>"H30.04.01"</f>
        <v>H30.04.01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</row>
    <row r="73" spans="2:15" x14ac:dyDescent="0.2">
      <c r="B73" s="2" t="str">
        <f t="shared" si="2"/>
        <v>菊池</v>
      </c>
      <c r="C73" s="2" t="str">
        <f>"いさかり歯科口腔クリニック"</f>
        <v>いさかり歯科口腔クリニック</v>
      </c>
      <c r="D73" s="2" t="str">
        <f>"861-1115"</f>
        <v>861-1115</v>
      </c>
      <c r="E73" s="2" t="s">
        <v>81</v>
      </c>
      <c r="F73" s="2" t="str">
        <f>"0962471771    "</f>
        <v xml:space="preserve">0962471771    </v>
      </c>
      <c r="G73" s="2" t="str">
        <f>"飯盛　美豊"</f>
        <v>飯盛　美豊</v>
      </c>
      <c r="H73" s="2" t="str">
        <f>"H31.01.11"</f>
        <v>H31.01.11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</row>
    <row r="74" spans="2:15" x14ac:dyDescent="0.2">
      <c r="B74" s="2" t="str">
        <f t="shared" si="2"/>
        <v>菊池</v>
      </c>
      <c r="C74" s="2" t="str">
        <f>"ひかり矯正歯科"</f>
        <v>ひかり矯正歯科</v>
      </c>
      <c r="D74" s="2" t="str">
        <f>"869-1108"</f>
        <v>869-1108</v>
      </c>
      <c r="E74" s="2" t="s">
        <v>82</v>
      </c>
      <c r="F74" s="2" t="str">
        <f>"0962856133    "</f>
        <v xml:space="preserve">0962856133    </v>
      </c>
      <c r="G74" s="2" t="str">
        <f>"医療法人ひかり矯正歯科"</f>
        <v>医療法人ひかり矯正歯科</v>
      </c>
      <c r="H74" s="2" t="str">
        <f>"R01.06.01"</f>
        <v>R01.06.01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</row>
    <row r="75" spans="2:15" x14ac:dyDescent="0.2">
      <c r="B75" s="2" t="str">
        <f t="shared" si="2"/>
        <v>菊池</v>
      </c>
      <c r="C75" s="2" t="str">
        <f>"合志アンビー歯科矯正歯科"</f>
        <v>合志アンビー歯科矯正歯科</v>
      </c>
      <c r="D75" s="2" t="str">
        <f>"861-1114"</f>
        <v>861-1114</v>
      </c>
      <c r="E75" s="2" t="s">
        <v>83</v>
      </c>
      <c r="F75" s="2" t="str">
        <f>"0962473300    "</f>
        <v xml:space="preserve">0962473300    </v>
      </c>
      <c r="G75" s="2" t="str">
        <f>"医療法人合志アンビー歯科矯正歯科"</f>
        <v>医療法人合志アンビー歯科矯正歯科</v>
      </c>
      <c r="H75" s="2" t="str">
        <f>"R02.04.01"</f>
        <v>R02.04.01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</row>
    <row r="76" spans="2:15" x14ac:dyDescent="0.2">
      <c r="B76" s="2" t="str">
        <f t="shared" si="2"/>
        <v>菊池</v>
      </c>
      <c r="C76" s="2" t="str">
        <f>"わたなべ歯科"</f>
        <v>わたなべ歯科</v>
      </c>
      <c r="D76" s="2" t="str">
        <f>"869-1235"</f>
        <v>869-1235</v>
      </c>
      <c r="E76" s="2" t="s">
        <v>84</v>
      </c>
      <c r="F76" s="2" t="str">
        <f>"0962932325    "</f>
        <v xml:space="preserve">0962932325    </v>
      </c>
      <c r="G76" s="2" t="str">
        <f>"医療法人　仁昇会"</f>
        <v>医療法人　仁昇会</v>
      </c>
      <c r="H76" s="2" t="str">
        <f>"R02.08.01"</f>
        <v>R02.08.01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</row>
    <row r="77" spans="2:15" x14ac:dyDescent="0.2">
      <c r="B77" s="2" t="str">
        <f t="shared" si="2"/>
        <v>菊池</v>
      </c>
      <c r="C77" s="2" t="str">
        <f>"そのき歯科医院"</f>
        <v>そのき歯科医院</v>
      </c>
      <c r="D77" s="2" t="str">
        <f>"861-1331"</f>
        <v>861-1331</v>
      </c>
      <c r="E77" s="2" t="s">
        <v>85</v>
      </c>
      <c r="F77" s="2" t="str">
        <f>"0968247008    "</f>
        <v xml:space="preserve">0968247008    </v>
      </c>
      <c r="G77" s="2" t="str">
        <f>"医療法人　かがやき"</f>
        <v>医療法人　かがやき</v>
      </c>
      <c r="H77" s="2" t="str">
        <f>"R02.12.01"</f>
        <v>R02.12.01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</row>
    <row r="78" spans="2:15" x14ac:dyDescent="0.2">
      <c r="B78" s="2" t="str">
        <f t="shared" si="2"/>
        <v>菊池</v>
      </c>
      <c r="C78" s="2" t="str">
        <f>"ハハ歯科医院"</f>
        <v>ハハ歯科医院</v>
      </c>
      <c r="D78" s="2" t="str">
        <f>"869-1227"</f>
        <v>869-1227</v>
      </c>
      <c r="E78" s="2" t="s">
        <v>86</v>
      </c>
      <c r="F78" s="2" t="str">
        <f>"0962853350    "</f>
        <v xml:space="preserve">0962853350    </v>
      </c>
      <c r="G78" s="2" t="str">
        <f>"西山　洋三"</f>
        <v>西山　洋三</v>
      </c>
      <c r="H78" s="2" t="str">
        <f>"R02.11.20"</f>
        <v>R02.11.20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</row>
    <row r="79" spans="2:15" x14ac:dyDescent="0.2">
      <c r="B79" s="2" t="str">
        <f t="shared" si="2"/>
        <v>菊池</v>
      </c>
      <c r="C79" s="2" t="str">
        <f>"菊陽うえき歯科クリニック"</f>
        <v>菊陽うえき歯科クリニック</v>
      </c>
      <c r="D79" s="2" t="str">
        <f>"869-1101"</f>
        <v>869-1101</v>
      </c>
      <c r="E79" s="2" t="s">
        <v>87</v>
      </c>
      <c r="F79" s="2" t="str">
        <f>"0962858476    "</f>
        <v xml:space="preserve">0962858476    </v>
      </c>
      <c r="G79" s="2" t="str">
        <f>"医療法人　M＆S"</f>
        <v>医療法人　M＆S</v>
      </c>
      <c r="H79" s="2" t="str">
        <f>"R03.01.01"</f>
        <v>R03.01.01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</row>
    <row r="80" spans="2:15" x14ac:dyDescent="0.2">
      <c r="B80" s="2" t="str">
        <f t="shared" si="2"/>
        <v>菊池</v>
      </c>
      <c r="C80" s="2" t="str">
        <f>"いろどり歯科こども歯科クリニック"</f>
        <v>いろどり歯科こども歯科クリニック</v>
      </c>
      <c r="D80" s="2" t="str">
        <f>"861-1103"</f>
        <v>861-1103</v>
      </c>
      <c r="E80" s="2" t="s">
        <v>88</v>
      </c>
      <c r="F80" s="2" t="str">
        <f>"0962882942    "</f>
        <v xml:space="preserve">0962882942    </v>
      </c>
      <c r="G80" s="2" t="str">
        <f>"秋山　太郎"</f>
        <v>秋山　太郎</v>
      </c>
      <c r="H80" s="2" t="str">
        <f>"R03.06.16"</f>
        <v>R03.06.16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</row>
    <row r="81" spans="2:15" x14ac:dyDescent="0.2">
      <c r="B81" s="2" t="str">
        <f t="shared" si="2"/>
        <v>菊池</v>
      </c>
      <c r="C81" s="2" t="str">
        <f>"みなみかわ歯科クリニック"</f>
        <v>みなみかわ歯科クリニック</v>
      </c>
      <c r="D81" s="2" t="str">
        <f>"861-1102"</f>
        <v>861-1102</v>
      </c>
      <c r="E81" s="2" t="s">
        <v>89</v>
      </c>
      <c r="F81" s="2" t="str">
        <f>"0962421182    "</f>
        <v xml:space="preserve">0962421182    </v>
      </c>
      <c r="G81" s="2" t="str">
        <f>"医療法人　寛志会"</f>
        <v>医療法人　寛志会</v>
      </c>
      <c r="H81" s="2" t="str">
        <f>"R03.10.01"</f>
        <v>R03.10.01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</row>
    <row r="82" spans="2:15" x14ac:dyDescent="0.2">
      <c r="B82" s="2" t="str">
        <f t="shared" si="2"/>
        <v>菊池</v>
      </c>
      <c r="C82" s="2" t="str">
        <f>"みよし歯科クリニック"</f>
        <v>みよし歯科クリニック</v>
      </c>
      <c r="D82" s="2" t="str">
        <f>"861-1104"</f>
        <v>861-1104</v>
      </c>
      <c r="E82" s="2" t="s">
        <v>90</v>
      </c>
      <c r="F82" s="2" t="str">
        <f>"0962421515    "</f>
        <v xml:space="preserve">0962421515    </v>
      </c>
      <c r="G82" s="2" t="str">
        <f>"医療法人　みよし歯科クリニック"</f>
        <v>医療法人　みよし歯科クリニック</v>
      </c>
      <c r="H82" s="2" t="str">
        <f>"R04.01.01"</f>
        <v>R04.01.01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</row>
    <row r="83" spans="2:15" x14ac:dyDescent="0.2">
      <c r="B83" s="2" t="str">
        <f t="shared" si="2"/>
        <v>菊池</v>
      </c>
      <c r="C83" s="2" t="str">
        <f>"ながた歯科"</f>
        <v>ながた歯科</v>
      </c>
      <c r="D83" s="2" t="str">
        <f>"861-1115"</f>
        <v>861-1115</v>
      </c>
      <c r="E83" s="2" t="s">
        <v>91</v>
      </c>
      <c r="F83" s="2" t="str">
        <f>"0963442385    "</f>
        <v xml:space="preserve">0963442385    </v>
      </c>
      <c r="G83" s="2" t="str">
        <f>"永田　文明"</f>
        <v>永田　文明</v>
      </c>
      <c r="H83" s="2" t="str">
        <f>"R04.03.31"</f>
        <v>R04.03.31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</row>
    <row r="84" spans="2:15" x14ac:dyDescent="0.2">
      <c r="B84" s="2" t="str">
        <f t="shared" si="2"/>
        <v>菊池</v>
      </c>
      <c r="C84" s="2" t="str">
        <f>"きくち総合歯科医院"</f>
        <v>きくち総合歯科医院</v>
      </c>
      <c r="D84" s="2" t="str">
        <f>"861-1331"</f>
        <v>861-1331</v>
      </c>
      <c r="E84" s="2" t="s">
        <v>92</v>
      </c>
      <c r="F84" s="2" t="str">
        <f>"0968252678    "</f>
        <v xml:space="preserve">0968252678    </v>
      </c>
      <c r="G84" s="2" t="str">
        <f>"医療法人社団　鏡会"</f>
        <v>医療法人社団　鏡会</v>
      </c>
      <c r="H84" s="2" t="str">
        <f>"R04.07.01"</f>
        <v>R04.07.01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</row>
    <row r="85" spans="2:15" x14ac:dyDescent="0.2">
      <c r="B85" s="2" t="str">
        <f t="shared" si="2"/>
        <v>菊池</v>
      </c>
      <c r="C85" s="2" t="str">
        <f>"りの歯科矯正歯科"</f>
        <v>りの歯科矯正歯科</v>
      </c>
      <c r="D85" s="2" t="str">
        <f>"869-1101"</f>
        <v>869-1101</v>
      </c>
      <c r="E85" s="2" t="s">
        <v>93</v>
      </c>
      <c r="F85" s="2" t="str">
        <f>"0962333378    "</f>
        <v xml:space="preserve">0962333378    </v>
      </c>
      <c r="G85" s="2" t="str">
        <f>"医療法人　lino-smile"</f>
        <v>医療法人　lino-smile</v>
      </c>
      <c r="H85" s="2" t="str">
        <f>"R04.09.01"</f>
        <v>R04.09.01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</row>
    <row r="86" spans="2:15" x14ac:dyDescent="0.2">
      <c r="B86" s="2" t="str">
        <f t="shared" si="2"/>
        <v>菊池</v>
      </c>
      <c r="C86" s="2" t="str">
        <f>"野田歯科口腔クリニック"</f>
        <v>野田歯科口腔クリニック</v>
      </c>
      <c r="D86" s="2" t="str">
        <f>"869-1237"</f>
        <v>869-1237</v>
      </c>
      <c r="E86" s="2" t="s">
        <v>94</v>
      </c>
      <c r="F86" s="2" t="str">
        <f>"0962920123    "</f>
        <v xml:space="preserve">0962920123    </v>
      </c>
      <c r="G86" s="2" t="str">
        <f>"医療法人　樹香会"</f>
        <v>医療法人　樹香会</v>
      </c>
      <c r="H86" s="2" t="str">
        <f>"R04.11.01"</f>
        <v>R04.11.01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</row>
    <row r="87" spans="2:15" x14ac:dyDescent="0.2">
      <c r="B87" s="2" t="str">
        <f t="shared" ref="B87:B98" si="3">"菊池"</f>
        <v>菊池</v>
      </c>
      <c r="C87" s="2" t="str">
        <f>"熊本フェリス総合歯科クリニック"</f>
        <v>熊本フェリス総合歯科クリニック</v>
      </c>
      <c r="D87" s="2" t="str">
        <f>"869-1101"</f>
        <v>869-1101</v>
      </c>
      <c r="E87" s="2" t="s">
        <v>95</v>
      </c>
      <c r="F87" s="2" t="str">
        <f>"0969741122    "</f>
        <v xml:space="preserve">0969741122    </v>
      </c>
      <c r="G87" s="2" t="str">
        <f>"医療法人社団　栗﨑会"</f>
        <v>医療法人社団　栗﨑会</v>
      </c>
      <c r="H87" s="2" t="str">
        <f>"R04.10.11"</f>
        <v>R04.10.11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</row>
    <row r="88" spans="2:15" x14ac:dyDescent="0.2">
      <c r="B88" s="2" t="str">
        <f t="shared" si="3"/>
        <v>菊池</v>
      </c>
      <c r="C88" s="2" t="str">
        <f>"工藤歯科医院"</f>
        <v>工藤歯科医院</v>
      </c>
      <c r="D88" s="2" t="str">
        <f>"861-1331"</f>
        <v>861-1331</v>
      </c>
      <c r="E88" s="2" t="s">
        <v>96</v>
      </c>
      <c r="F88" s="2" t="str">
        <f>"0968254657    "</f>
        <v xml:space="preserve">0968254657    </v>
      </c>
      <c r="G88" s="2" t="str">
        <f>"医療法人　健幸会"</f>
        <v>医療法人　健幸会</v>
      </c>
      <c r="H88" s="2" t="str">
        <f>"R04.10.01"</f>
        <v>R04.10.01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</row>
    <row r="89" spans="2:15" x14ac:dyDescent="0.2">
      <c r="B89" s="2" t="str">
        <f t="shared" si="3"/>
        <v>菊池</v>
      </c>
      <c r="C89" s="2" t="str">
        <f>"田中歯科医院"</f>
        <v>田中歯科医院</v>
      </c>
      <c r="D89" s="2" t="str">
        <f>"869-1102"</f>
        <v>869-1102</v>
      </c>
      <c r="E89" s="2" t="s">
        <v>97</v>
      </c>
      <c r="F89" s="2" t="str">
        <f>"09087658565   "</f>
        <v xml:space="preserve">09087658565   </v>
      </c>
      <c r="G89" s="2" t="str">
        <f>"田中　裕子"</f>
        <v>田中　裕子</v>
      </c>
      <c r="H89" s="2" t="str">
        <f>"R05.01.04"</f>
        <v>R05.01.04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</row>
    <row r="90" spans="2:15" x14ac:dyDescent="0.2">
      <c r="B90" s="2" t="str">
        <f t="shared" si="3"/>
        <v>菊池</v>
      </c>
      <c r="C90" s="2" t="str">
        <f>"永田歯科口腔外科クリニック"</f>
        <v>永田歯科口腔外科クリニック</v>
      </c>
      <c r="D90" s="2" t="str">
        <f>"869-1235"</f>
        <v>869-1235</v>
      </c>
      <c r="E90" s="2" t="s">
        <v>98</v>
      </c>
      <c r="F90" s="2" t="str">
        <f>"0962930588    "</f>
        <v xml:space="preserve">0962930588    </v>
      </c>
      <c r="G90" s="2" t="str">
        <f>"永田　将士"</f>
        <v>永田　将士</v>
      </c>
      <c r="H90" s="2" t="str">
        <f>"R05.04.01"</f>
        <v>R05.04.01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</row>
    <row r="91" spans="2:15" x14ac:dyDescent="0.2">
      <c r="B91" s="2" t="str">
        <f t="shared" si="3"/>
        <v>菊池</v>
      </c>
      <c r="C91" s="2" t="str">
        <f>"三隅歯科医院"</f>
        <v>三隅歯科医院</v>
      </c>
      <c r="D91" s="2" t="str">
        <f>"861-1112"</f>
        <v>861-1112</v>
      </c>
      <c r="E91" s="2" t="s">
        <v>99</v>
      </c>
      <c r="F91" s="2" t="str">
        <f>"0962481101    "</f>
        <v xml:space="preserve">0962481101    </v>
      </c>
      <c r="G91" s="2" t="str">
        <f>"三隅　寛"</f>
        <v>三隅　寛</v>
      </c>
      <c r="H91" s="2" t="str">
        <f>"R05.04.01"</f>
        <v>R05.04.01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</row>
    <row r="92" spans="2:15" x14ac:dyDescent="0.2">
      <c r="B92" s="2" t="str">
        <f t="shared" si="3"/>
        <v>菊池</v>
      </c>
      <c r="C92" s="2" t="str">
        <f>"まつだ歯科クリニック"</f>
        <v>まつだ歯科クリニック</v>
      </c>
      <c r="D92" s="2" t="str">
        <f>"861-1102"</f>
        <v>861-1102</v>
      </c>
      <c r="E92" s="2" t="s">
        <v>100</v>
      </c>
      <c r="F92" s="2" t="str">
        <f>"0962423535    "</f>
        <v xml:space="preserve">0962423535    </v>
      </c>
      <c r="G92" s="2" t="str">
        <f>"松田　智也"</f>
        <v>松田　智也</v>
      </c>
      <c r="H92" s="2" t="str">
        <f>"R05.05.17"</f>
        <v>R05.05.17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</row>
    <row r="93" spans="2:15" x14ac:dyDescent="0.2">
      <c r="B93" s="2" t="str">
        <f t="shared" si="3"/>
        <v>菊池</v>
      </c>
      <c r="C93" s="2" t="str">
        <f>"合志かたやまこども歯科"</f>
        <v>合志かたやまこども歯科</v>
      </c>
      <c r="D93" s="2" t="str">
        <f>"861-1102"</f>
        <v>861-1102</v>
      </c>
      <c r="E93" s="2" t="s">
        <v>101</v>
      </c>
      <c r="F93" s="2" t="str">
        <f>"0963278081    "</f>
        <v xml:space="preserve">0963278081    </v>
      </c>
      <c r="G93" s="2" t="str">
        <f>"片山　創"</f>
        <v>片山　創</v>
      </c>
      <c r="H93" s="2" t="str">
        <f>"R06.03.11"</f>
        <v>R06.03.11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</row>
    <row r="94" spans="2:15" x14ac:dyDescent="0.2">
      <c r="B94" s="2" t="str">
        <f t="shared" si="3"/>
        <v>菊池</v>
      </c>
      <c r="C94" s="2" t="str">
        <f>"楓の森歯科クリニック"</f>
        <v>楓の森歯科クリニック</v>
      </c>
      <c r="D94" s="2" t="str">
        <f>"861-1115"</f>
        <v>861-1115</v>
      </c>
      <c r="E94" s="2" t="s">
        <v>102</v>
      </c>
      <c r="F94" s="2" t="str">
        <f>"0963216480    "</f>
        <v xml:space="preserve">0963216480    </v>
      </c>
      <c r="G94" s="2" t="str">
        <f>"白濱　義将"</f>
        <v>白濱　義将</v>
      </c>
      <c r="H94" s="2" t="str">
        <f>"R06.03.15"</f>
        <v>R06.03.15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</row>
    <row r="95" spans="2:15" x14ac:dyDescent="0.2">
      <c r="B95" s="2" t="str">
        <f t="shared" si="3"/>
        <v>菊池</v>
      </c>
      <c r="C95" s="2" t="str">
        <f>"Ｙ’ｓ歯科"</f>
        <v>Ｙ’ｓ歯科</v>
      </c>
      <c r="D95" s="2" t="str">
        <f>"869-1235"</f>
        <v>869-1235</v>
      </c>
      <c r="E95" s="2" t="s">
        <v>103</v>
      </c>
      <c r="F95" s="2" t="str">
        <f>"0962948118    "</f>
        <v xml:space="preserve">0962948118    </v>
      </c>
      <c r="G95" s="2" t="str">
        <f>"医療法人　Ｙ’ｓ歯科"</f>
        <v>医療法人　Ｙ’ｓ歯科</v>
      </c>
      <c r="H95" s="2" t="str">
        <f>"R06.05.01"</f>
        <v>R06.05.01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</row>
    <row r="96" spans="2:15" x14ac:dyDescent="0.2">
      <c r="B96" s="2" t="str">
        <f t="shared" si="3"/>
        <v>菊池</v>
      </c>
      <c r="C96" s="2" t="str">
        <f>"ケーアイ総合歯科クリニック"</f>
        <v>ケーアイ総合歯科クリニック</v>
      </c>
      <c r="D96" s="2" t="str">
        <f>"861-1201"</f>
        <v>861-1201</v>
      </c>
      <c r="E96" s="2" t="s">
        <v>104</v>
      </c>
      <c r="F96" s="2" t="str">
        <f>"0968381180    "</f>
        <v xml:space="preserve">0968381180    </v>
      </c>
      <c r="G96" s="2" t="str">
        <f>"石川　卓"</f>
        <v>石川　卓</v>
      </c>
      <c r="H96" s="2" t="str">
        <f>"R07.05.07"</f>
        <v>R07.05.07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</row>
    <row r="97" spans="2:15" x14ac:dyDescent="0.2">
      <c r="B97" s="2" t="str">
        <f t="shared" si="3"/>
        <v>菊池</v>
      </c>
      <c r="C97" s="2" t="str">
        <f>"ペエ歯科クリニック"</f>
        <v>ペエ歯科クリニック</v>
      </c>
      <c r="D97" s="2" t="str">
        <f>"861-1212"</f>
        <v>861-1212</v>
      </c>
      <c r="E97" s="2" t="s">
        <v>105</v>
      </c>
      <c r="F97" s="2" t="str">
        <f>"0968380202    "</f>
        <v xml:space="preserve">0968380202    </v>
      </c>
      <c r="G97" s="2" t="str">
        <f>"医療法人F＆A　Smile"</f>
        <v>医療法人F＆A　Smile</v>
      </c>
      <c r="H97" s="2" t="str">
        <f>"R07.09.24"</f>
        <v>R07.09.24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</row>
    <row r="98" spans="2:15" x14ac:dyDescent="0.2">
      <c r="B98" s="2" t="str">
        <f t="shared" si="3"/>
        <v>菊池</v>
      </c>
      <c r="C98" s="2" t="str">
        <f>"林歯科医院"</f>
        <v>林歯科医院</v>
      </c>
      <c r="D98" s="2" t="str">
        <f>"861-1331"</f>
        <v>861-1331</v>
      </c>
      <c r="E98" s="2" t="s">
        <v>106</v>
      </c>
      <c r="F98" s="2" t="str">
        <f>"0968244182    "</f>
        <v xml:space="preserve">0968244182    </v>
      </c>
      <c r="G98" s="2" t="str">
        <f>"林　英佑"</f>
        <v>林　英佑</v>
      </c>
      <c r="H98" s="2" t="str">
        <f>"R07.07.06"</f>
        <v>R07.07.06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</row>
    <row r="99" spans="2:15" x14ac:dyDescent="0.2">
      <c r="B99" s="2" t="str">
        <f t="shared" ref="B99:B117" si="4">"阿蘇"</f>
        <v>阿蘇</v>
      </c>
      <c r="C99" s="2" t="str">
        <f>"脇デンタルクリニック"</f>
        <v>脇デンタルクリニック</v>
      </c>
      <c r="D99" s="2" t="str">
        <f>"        "</f>
        <v xml:space="preserve">        </v>
      </c>
      <c r="E99" s="2" t="s">
        <v>107</v>
      </c>
      <c r="F99" s="2" t="str">
        <f>"0967322500    "</f>
        <v xml:space="preserve">0967322500    </v>
      </c>
      <c r="G99" s="2" t="str">
        <f>"医療法人社団澄幸会"</f>
        <v>医療法人社団澄幸会</v>
      </c>
      <c r="H99" s="2" t="str">
        <f>"R04.04.01"</f>
        <v>R04.04.01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</row>
    <row r="100" spans="2:15" x14ac:dyDescent="0.2">
      <c r="B100" s="2" t="str">
        <f t="shared" si="4"/>
        <v>阿蘇</v>
      </c>
      <c r="C100" s="2" t="str">
        <f>"佐藤歯科クリニック"</f>
        <v>佐藤歯科クリニック</v>
      </c>
      <c r="D100" s="2" t="str">
        <f>"869-2612"</f>
        <v>869-2612</v>
      </c>
      <c r="E100" s="2" t="s">
        <v>108</v>
      </c>
      <c r="F100" s="2" t="str">
        <f>"0967225131    "</f>
        <v xml:space="preserve">0967225131    </v>
      </c>
      <c r="G100" s="2" t="str">
        <f>"医療法人社団　エスエス会"</f>
        <v>医療法人社団　エスエス会</v>
      </c>
      <c r="H100" s="2" t="str">
        <f>"H09.09.01"</f>
        <v>H09.09.01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</row>
    <row r="101" spans="2:15" x14ac:dyDescent="0.2">
      <c r="B101" s="2" t="str">
        <f t="shared" si="4"/>
        <v>阿蘇</v>
      </c>
      <c r="C101" s="2" t="str">
        <f>"市原歯科クリニック"</f>
        <v>市原歯科クリニック</v>
      </c>
      <c r="D101" s="2" t="str">
        <f>"869-2302"</f>
        <v>869-2302</v>
      </c>
      <c r="E101" s="2" t="s">
        <v>109</v>
      </c>
      <c r="F101" s="2" t="str">
        <f>"0967323828    "</f>
        <v xml:space="preserve">0967323828    </v>
      </c>
      <c r="G101" s="2" t="str">
        <f>"医療法人社団　　市原会"</f>
        <v>医療法人社団　　市原会</v>
      </c>
      <c r="H101" s="2" t="str">
        <f>"H01.08.01"</f>
        <v>H01.08.01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</row>
    <row r="102" spans="2:15" x14ac:dyDescent="0.2">
      <c r="B102" s="2" t="str">
        <f t="shared" si="4"/>
        <v>阿蘇</v>
      </c>
      <c r="C102" s="2" t="str">
        <f>"そのだ歯科医院"</f>
        <v>そのだ歯科医院</v>
      </c>
      <c r="D102" s="2" t="str">
        <f>"869-2301"</f>
        <v>869-2301</v>
      </c>
      <c r="E102" s="2" t="s">
        <v>110</v>
      </c>
      <c r="F102" s="2" t="str">
        <f>"0967321418    "</f>
        <v xml:space="preserve">0967321418    </v>
      </c>
      <c r="G102" s="2" t="str">
        <f>"園田　隆弘"</f>
        <v>園田　隆弘</v>
      </c>
      <c r="H102" s="2" t="str">
        <f>"H14.09.12"</f>
        <v>H14.09.12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</row>
    <row r="103" spans="2:15" x14ac:dyDescent="0.2">
      <c r="B103" s="2" t="str">
        <f t="shared" si="4"/>
        <v>阿蘇</v>
      </c>
      <c r="C103" s="2" t="str">
        <f>"武藤歯科医院"</f>
        <v>武藤歯科医院</v>
      </c>
      <c r="D103" s="2" t="str">
        <f>"869-2301"</f>
        <v>869-2301</v>
      </c>
      <c r="E103" s="2" t="s">
        <v>111</v>
      </c>
      <c r="F103" s="2" t="str">
        <f>"0967320027    "</f>
        <v xml:space="preserve">0967320027    </v>
      </c>
      <c r="G103" s="2" t="str">
        <f>"武藤　　健史"</f>
        <v>武藤　　健史</v>
      </c>
      <c r="H103" s="2" t="str">
        <f>"H02.01.08"</f>
        <v>H02.01.08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</row>
    <row r="104" spans="2:15" x14ac:dyDescent="0.2">
      <c r="B104" s="2" t="str">
        <f t="shared" si="4"/>
        <v>阿蘇</v>
      </c>
      <c r="C104" s="2" t="str">
        <f>"安光歯科医院"</f>
        <v>安光歯科医院</v>
      </c>
      <c r="D104" s="2" t="str">
        <f>"869-2225"</f>
        <v>869-2225</v>
      </c>
      <c r="E104" s="2" t="s">
        <v>112</v>
      </c>
      <c r="F104" s="2" t="str">
        <f>"0967340603    "</f>
        <v xml:space="preserve">0967340603    </v>
      </c>
      <c r="G104" s="2" t="str">
        <f>"医療法人　　芳生会"</f>
        <v>医療法人　　芳生会</v>
      </c>
      <c r="H104" s="2" t="str">
        <f>"H13.02.07"</f>
        <v>H13.02.07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</row>
    <row r="105" spans="2:15" x14ac:dyDescent="0.2">
      <c r="B105" s="2" t="str">
        <f t="shared" si="4"/>
        <v>阿蘇</v>
      </c>
      <c r="C105" s="2" t="str">
        <f>"児玉歯科医院"</f>
        <v>児玉歯科医院</v>
      </c>
      <c r="D105" s="2" t="str">
        <f>"869-2501"</f>
        <v>869-2501</v>
      </c>
      <c r="E105" s="2" t="s">
        <v>113</v>
      </c>
      <c r="F105" s="2" t="str">
        <f>"0967462183    "</f>
        <v xml:space="preserve">0967462183    </v>
      </c>
      <c r="G105" s="2" t="str">
        <f>"児玉　　睦雄"</f>
        <v>児玉　　睦雄</v>
      </c>
      <c r="H105" s="2" t="str">
        <f>"S56.01.01"</f>
        <v>S56.01.01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</row>
    <row r="106" spans="2:15" x14ac:dyDescent="0.2">
      <c r="B106" s="2" t="str">
        <f t="shared" si="4"/>
        <v>阿蘇</v>
      </c>
      <c r="C106" s="2" t="str">
        <f>"とらたに歯科"</f>
        <v>とらたに歯科</v>
      </c>
      <c r="D106" s="2" t="str">
        <f>"869-2501"</f>
        <v>869-2501</v>
      </c>
      <c r="E106" s="2" t="s">
        <v>114</v>
      </c>
      <c r="F106" s="2" t="str">
        <f>"0967485888    "</f>
        <v xml:space="preserve">0967485888    </v>
      </c>
      <c r="G106" s="2" t="str">
        <f>"乕谷　真"</f>
        <v>乕谷　真</v>
      </c>
      <c r="H106" s="2" t="str">
        <f>"H14.07.18"</f>
        <v>H14.07.18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</row>
    <row r="107" spans="2:15" x14ac:dyDescent="0.2">
      <c r="B107" s="2" t="str">
        <f t="shared" si="4"/>
        <v>阿蘇</v>
      </c>
      <c r="C107" s="2" t="str">
        <f>"田上歯科医院"</f>
        <v>田上歯科医院</v>
      </c>
      <c r="D107" s="2" t="str">
        <f>"869-1503"</f>
        <v>869-1503</v>
      </c>
      <c r="E107" s="2" t="s">
        <v>115</v>
      </c>
      <c r="F107" s="2" t="str">
        <f>"0967629177    "</f>
        <v xml:space="preserve">0967629177    </v>
      </c>
      <c r="G107" s="2" t="str">
        <f>"医療法人社団　　田上会"</f>
        <v>医療法人社団　　田上会</v>
      </c>
      <c r="H107" s="2" t="str">
        <f>"H05.08.03"</f>
        <v>H05.08.03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</row>
    <row r="108" spans="2:15" x14ac:dyDescent="0.2">
      <c r="B108" s="2" t="str">
        <f t="shared" si="4"/>
        <v>阿蘇</v>
      </c>
      <c r="C108" s="2" t="str">
        <f>"あい歯科クリニック"</f>
        <v>あい歯科クリニック</v>
      </c>
      <c r="D108" s="2" t="str">
        <f>"869-1402"</f>
        <v>869-1402</v>
      </c>
      <c r="E108" s="2" t="s">
        <v>116</v>
      </c>
      <c r="F108" s="2" t="str">
        <f>"0967356100    "</f>
        <v xml:space="preserve">0967356100    </v>
      </c>
      <c r="G108" s="2" t="str">
        <f>"隈井　隆弘"</f>
        <v>隈井　隆弘</v>
      </c>
      <c r="H108" s="2" t="str">
        <f>"H15.04.01"</f>
        <v>H15.04.01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</row>
    <row r="109" spans="2:15" x14ac:dyDescent="0.2">
      <c r="B109" s="2" t="str">
        <f t="shared" si="4"/>
        <v>阿蘇</v>
      </c>
      <c r="C109" s="2" t="str">
        <f>"赤尾歯科クリニック"</f>
        <v>赤尾歯科クリニック</v>
      </c>
      <c r="D109" s="2" t="str">
        <f>"861-2402"</f>
        <v>861-2402</v>
      </c>
      <c r="E109" s="2" t="s">
        <v>117</v>
      </c>
      <c r="F109" s="2" t="str">
        <f>"0963404040    "</f>
        <v xml:space="preserve">0963404040    </v>
      </c>
      <c r="G109" s="2" t="str">
        <f>"赤尾　浩彦"</f>
        <v>赤尾　浩彦</v>
      </c>
      <c r="H109" s="2" t="str">
        <f>"H15.03.17"</f>
        <v>H15.03.17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</row>
    <row r="110" spans="2:15" x14ac:dyDescent="0.2">
      <c r="B110" s="2" t="str">
        <f t="shared" si="4"/>
        <v>阿蘇</v>
      </c>
      <c r="C110" s="2" t="str">
        <f>"桑田歯科医院"</f>
        <v>桑田歯科医院</v>
      </c>
      <c r="D110" s="2" t="str">
        <f>"861-2402"</f>
        <v>861-2402</v>
      </c>
      <c r="E110" s="2" t="s">
        <v>118</v>
      </c>
      <c r="F110" s="2" t="str">
        <f>"0962793266    "</f>
        <v xml:space="preserve">0962793266    </v>
      </c>
      <c r="G110" s="2" t="str">
        <f>"桑田　　和明"</f>
        <v>桑田　　和明</v>
      </c>
      <c r="H110" s="2" t="str">
        <f>"S63.07.06"</f>
        <v>S63.07.06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</row>
    <row r="111" spans="2:15" x14ac:dyDescent="0.2">
      <c r="B111" s="2" t="str">
        <f t="shared" si="4"/>
        <v>阿蘇</v>
      </c>
      <c r="C111" s="2" t="str">
        <f>"みもり歯科医院"</f>
        <v>みもり歯科医院</v>
      </c>
      <c r="D111" s="2" t="str">
        <f>"869-1602"</f>
        <v>869-1602</v>
      </c>
      <c r="E111" s="2" t="s">
        <v>119</v>
      </c>
      <c r="F111" s="2" t="str">
        <f>"0967622005    "</f>
        <v xml:space="preserve">0967622005    </v>
      </c>
      <c r="G111" s="2" t="str">
        <f>"三森康弘"</f>
        <v>三森康弘</v>
      </c>
      <c r="H111" s="2" t="str">
        <f>"H18.08.10"</f>
        <v>H18.08.10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</row>
    <row r="112" spans="2:15" x14ac:dyDescent="0.2">
      <c r="B112" s="2" t="str">
        <f t="shared" si="4"/>
        <v>阿蘇</v>
      </c>
      <c r="C112" s="2" t="str">
        <f>"宇治歯科医院"</f>
        <v>宇治歯科医院</v>
      </c>
      <c r="D112" s="2" t="str">
        <f>"869-2612"</f>
        <v>869-2612</v>
      </c>
      <c r="E112" s="2" t="s">
        <v>120</v>
      </c>
      <c r="F112" s="2" t="str">
        <f>"0967220214    "</f>
        <v xml:space="preserve">0967220214    </v>
      </c>
      <c r="G112" s="2" t="str">
        <f>"宇治信博"</f>
        <v>宇治信博</v>
      </c>
      <c r="H112" s="2" t="str">
        <f>"H20.01.01"</f>
        <v>H20.01.01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</row>
    <row r="113" spans="2:15" x14ac:dyDescent="0.2">
      <c r="B113" s="2" t="str">
        <f t="shared" si="4"/>
        <v>阿蘇</v>
      </c>
      <c r="C113" s="2" t="str">
        <f>"たかもり歯科医院"</f>
        <v>たかもり歯科医院</v>
      </c>
      <c r="D113" s="2" t="str">
        <f>"869-2612"</f>
        <v>869-2612</v>
      </c>
      <c r="E113" s="2" t="s">
        <v>121</v>
      </c>
      <c r="F113" s="2" t="str">
        <f>"0967225588    "</f>
        <v xml:space="preserve">0967225588    </v>
      </c>
      <c r="G113" s="2" t="str">
        <f>"医療法人社団　健優会"</f>
        <v>医療法人社団　健優会</v>
      </c>
      <c r="H113" s="2" t="str">
        <f>"H20.05.20"</f>
        <v>H20.05.20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</row>
    <row r="114" spans="2:15" x14ac:dyDescent="0.2">
      <c r="B114" s="2" t="str">
        <f t="shared" si="4"/>
        <v>阿蘇</v>
      </c>
      <c r="C114" s="2" t="str">
        <f>"片山歯科医院"</f>
        <v>片山歯科医院</v>
      </c>
      <c r="D114" s="2" t="str">
        <f>"869-1602"</f>
        <v>869-1602</v>
      </c>
      <c r="E114" s="2" t="s">
        <v>122</v>
      </c>
      <c r="F114" s="2" t="str">
        <f>"0967621971    "</f>
        <v xml:space="preserve">0967621971    </v>
      </c>
      <c r="G114" s="2" t="str">
        <f>"片山　建一"</f>
        <v>片山　建一</v>
      </c>
      <c r="H114" s="2" t="str">
        <f>"H30.09.01"</f>
        <v>H30.09.01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</row>
    <row r="115" spans="2:15" x14ac:dyDescent="0.2">
      <c r="B115" s="2" t="str">
        <f t="shared" si="4"/>
        <v>阿蘇</v>
      </c>
      <c r="C115" s="2" t="str">
        <f>"きよら歯科医院"</f>
        <v>きよら歯科医院</v>
      </c>
      <c r="D115" s="2" t="str">
        <f>"869-2401"</f>
        <v>869-2401</v>
      </c>
      <c r="E115" s="2" t="s">
        <v>123</v>
      </c>
      <c r="F115" s="2" t="str">
        <f>"0967256111    "</f>
        <v xml:space="preserve">0967256111    </v>
      </c>
      <c r="G115" s="2" t="str">
        <f>"医療法人社団　健優会"</f>
        <v>医療法人社団　健優会</v>
      </c>
      <c r="H115" s="2" t="str">
        <f>"H31.03.18"</f>
        <v>H31.03.18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</row>
    <row r="116" spans="2:15" x14ac:dyDescent="0.2">
      <c r="B116" s="2" t="str">
        <f t="shared" si="4"/>
        <v>阿蘇</v>
      </c>
      <c r="C116" s="2" t="str">
        <f>"阿蘇きずな歯科医院"</f>
        <v>阿蘇きずな歯科医院</v>
      </c>
      <c r="D116" s="2" t="str">
        <f>"869-2612"</f>
        <v>869-2612</v>
      </c>
      <c r="E116" s="2" t="s">
        <v>124</v>
      </c>
      <c r="F116" s="2" t="str">
        <f>"0967224677    "</f>
        <v xml:space="preserve">0967224677    </v>
      </c>
      <c r="G116" s="2" t="str">
        <f>"医療法人社団きずな会"</f>
        <v>医療法人社団きずな会</v>
      </c>
      <c r="H116" s="2" t="str">
        <f>"R03.04.01"</f>
        <v>R03.04.01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</row>
    <row r="117" spans="2:15" x14ac:dyDescent="0.2">
      <c r="B117" s="2" t="str">
        <f t="shared" si="4"/>
        <v>阿蘇</v>
      </c>
      <c r="C117" s="2" t="str">
        <f>"ピュアデンタルクリニック南阿蘇歯科診療所"</f>
        <v>ピュアデンタルクリニック南阿蘇歯科診療所</v>
      </c>
      <c r="D117" s="2" t="str">
        <f>"869-1411"</f>
        <v>869-1411</v>
      </c>
      <c r="E117" s="2" t="s">
        <v>125</v>
      </c>
      <c r="F117" s="2" t="str">
        <f>"0967634618    "</f>
        <v xml:space="preserve">0967634618    </v>
      </c>
      <c r="G117" s="2" t="str">
        <f>"医療法人　菅鉢会"</f>
        <v>医療法人　菅鉢会</v>
      </c>
      <c r="H117" s="2" t="str">
        <f>"R06.07.17"</f>
        <v>R06.07.17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</row>
    <row r="118" spans="2:15" x14ac:dyDescent="0.2">
      <c r="B118" s="2" t="str">
        <f t="shared" ref="B118:B143" si="5">"御船"</f>
        <v>御船</v>
      </c>
      <c r="C118" s="2" t="str">
        <f>"入江歯科医院"</f>
        <v>入江歯科医院</v>
      </c>
      <c r="D118" s="2" t="str">
        <f>"861-3206"</f>
        <v>861-3206</v>
      </c>
      <c r="E118" s="2" t="s">
        <v>126</v>
      </c>
      <c r="F118" s="2" t="str">
        <f>"0962823188    "</f>
        <v xml:space="preserve">0962823188    </v>
      </c>
      <c r="G118" s="2" t="str">
        <f>"入江　英仁"</f>
        <v>入江　英仁</v>
      </c>
      <c r="H118" s="2" t="str">
        <f>"S62.03.17"</f>
        <v>S62.03.17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</row>
    <row r="119" spans="2:15" x14ac:dyDescent="0.2">
      <c r="B119" s="2" t="str">
        <f t="shared" si="5"/>
        <v>御船</v>
      </c>
      <c r="C119" s="2" t="str">
        <f>"玉置歯科医院"</f>
        <v>玉置歯科医院</v>
      </c>
      <c r="D119" s="2" t="str">
        <f>"861-3101"</f>
        <v>861-3101</v>
      </c>
      <c r="E119" s="2" t="s">
        <v>127</v>
      </c>
      <c r="F119" s="2" t="str">
        <f>"0962372370    "</f>
        <v xml:space="preserve">0962372370    </v>
      </c>
      <c r="G119" s="2" t="str">
        <f>"玉置　孝信"</f>
        <v>玉置　孝信</v>
      </c>
      <c r="H119" s="2" t="str">
        <f>"S62.10.05"</f>
        <v>S62.10.05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</row>
    <row r="120" spans="2:15" x14ac:dyDescent="0.2">
      <c r="B120" s="2" t="str">
        <f t="shared" si="5"/>
        <v>御船</v>
      </c>
      <c r="C120" s="2" t="str">
        <f>"ひがし歯科医院"</f>
        <v>ひがし歯科医院</v>
      </c>
      <c r="D120" s="2" t="str">
        <f>"861-3102"</f>
        <v>861-3102</v>
      </c>
      <c r="E120" s="2" t="s">
        <v>128</v>
      </c>
      <c r="F120" s="2" t="str">
        <f>"0963670112    "</f>
        <v xml:space="preserve">0963670112    </v>
      </c>
      <c r="G120" s="2" t="str">
        <f>"医療法人　ひがし歯科医院"</f>
        <v>医療法人　ひがし歯科医院</v>
      </c>
      <c r="H120" s="2" t="str">
        <f>"H06.02.01"</f>
        <v>H06.02.01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</row>
    <row r="121" spans="2:15" x14ac:dyDescent="0.2">
      <c r="B121" s="2" t="str">
        <f t="shared" si="5"/>
        <v>御船</v>
      </c>
      <c r="C121" s="2" t="str">
        <f>"共愛歯科医院"</f>
        <v>共愛歯科医院</v>
      </c>
      <c r="D121" s="2" t="str">
        <f>"861-2231"</f>
        <v>861-2231</v>
      </c>
      <c r="E121" s="2" t="s">
        <v>129</v>
      </c>
      <c r="F121" s="2" t="str">
        <f>"0962862277    "</f>
        <v xml:space="preserve">0962862277    </v>
      </c>
      <c r="G121" s="2" t="str">
        <f>"医療法人　共愛会"</f>
        <v>医療法人　共愛会</v>
      </c>
      <c r="H121" s="2" t="str">
        <f>"H11.05.21"</f>
        <v>H11.05.21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</row>
    <row r="122" spans="2:15" x14ac:dyDescent="0.2">
      <c r="B122" s="2" t="str">
        <f t="shared" si="5"/>
        <v>御船</v>
      </c>
      <c r="C122" s="2" t="str">
        <f>"清村歯科医院"</f>
        <v>清村歯科医院</v>
      </c>
      <c r="D122" s="2" t="str">
        <f>"861-4606"</f>
        <v>861-4606</v>
      </c>
      <c r="E122" s="2" t="s">
        <v>130</v>
      </c>
      <c r="F122" s="2" t="str">
        <f>"0962343773    "</f>
        <v xml:space="preserve">0962343773    </v>
      </c>
      <c r="G122" s="2" t="str">
        <f>"清村　龍朗"</f>
        <v>清村　龍朗</v>
      </c>
      <c r="H122" s="2" t="str">
        <f>"S60.07.15"</f>
        <v>S60.07.15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</row>
    <row r="123" spans="2:15" x14ac:dyDescent="0.2">
      <c r="B123" s="2" t="str">
        <f t="shared" si="5"/>
        <v>御船</v>
      </c>
      <c r="C123" s="2" t="str">
        <f>"さとう歯科クリニック"</f>
        <v>さとう歯科クリニック</v>
      </c>
      <c r="D123" s="2" t="str">
        <f>"861-4604"</f>
        <v>861-4604</v>
      </c>
      <c r="E123" s="2" t="s">
        <v>131</v>
      </c>
      <c r="F123" s="2" t="str">
        <f>"0962351118    "</f>
        <v xml:space="preserve">0962351118    </v>
      </c>
      <c r="G123" s="2" t="str">
        <f>"佐藤　昭彦"</f>
        <v>佐藤　昭彦</v>
      </c>
      <c r="H123" s="2" t="str">
        <f>"H10.01.06"</f>
        <v>H10.01.06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</row>
    <row r="124" spans="2:15" x14ac:dyDescent="0.2">
      <c r="B124" s="2" t="str">
        <f t="shared" si="5"/>
        <v>御船</v>
      </c>
      <c r="C124" s="2" t="str">
        <f>"浜町歯科医院"</f>
        <v>浜町歯科医院</v>
      </c>
      <c r="D124" s="2" t="str">
        <f>"861-3518"</f>
        <v>861-3518</v>
      </c>
      <c r="E124" s="2" t="s">
        <v>132</v>
      </c>
      <c r="F124" s="2" t="str">
        <f>"0967720022    "</f>
        <v xml:space="preserve">0967720022    </v>
      </c>
      <c r="G124" s="2" t="str">
        <f>"医療法人社団　萌歯会"</f>
        <v>医療法人社団　萌歯会</v>
      </c>
      <c r="H124" s="2" t="str">
        <f>"S63.05.20"</f>
        <v>S63.05.20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</row>
    <row r="125" spans="2:15" x14ac:dyDescent="0.2">
      <c r="B125" s="2" t="str">
        <f t="shared" si="5"/>
        <v>御船</v>
      </c>
      <c r="C125" s="2" t="str">
        <f>"せいわ歯科クリニック"</f>
        <v>せいわ歯科クリニック</v>
      </c>
      <c r="D125" s="2" t="str">
        <f>"861-3811"</f>
        <v>861-3811</v>
      </c>
      <c r="E125" s="2" t="s">
        <v>133</v>
      </c>
      <c r="F125" s="2" t="str">
        <f>"0967823456    "</f>
        <v xml:space="preserve">0967823456    </v>
      </c>
      <c r="G125" s="2" t="str">
        <f>"石井　洋一"</f>
        <v>石井　洋一</v>
      </c>
      <c r="H125" s="2" t="str">
        <f>"H18.09.15"</f>
        <v>H18.09.15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</row>
    <row r="126" spans="2:15" x14ac:dyDescent="0.2">
      <c r="B126" s="2" t="str">
        <f t="shared" si="5"/>
        <v>御船</v>
      </c>
      <c r="C126" s="2" t="str">
        <f>"豊田歯科医院"</f>
        <v>豊田歯科医院</v>
      </c>
      <c r="D126" s="2" t="str">
        <f>"861-3514"</f>
        <v>861-3514</v>
      </c>
      <c r="E126" s="2" t="s">
        <v>134</v>
      </c>
      <c r="F126" s="2" t="str">
        <f>"0967720371    "</f>
        <v xml:space="preserve">0967720371    </v>
      </c>
      <c r="G126" s="2" t="str">
        <f>"豊田　彩"</f>
        <v>豊田　彩</v>
      </c>
      <c r="H126" s="2" t="str">
        <f>"H19.12.27"</f>
        <v>H19.12.27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</row>
    <row r="127" spans="2:15" x14ac:dyDescent="0.2">
      <c r="B127" s="2" t="str">
        <f t="shared" si="5"/>
        <v>御船</v>
      </c>
      <c r="C127" s="2" t="str">
        <f>"若葉歯科医院"</f>
        <v>若葉歯科医院</v>
      </c>
      <c r="D127" s="2" t="str">
        <f>"861-3206"</f>
        <v>861-3206</v>
      </c>
      <c r="E127" s="2" t="s">
        <v>135</v>
      </c>
      <c r="F127" s="2" t="str">
        <f>"0962822265    "</f>
        <v xml:space="preserve">0962822265    </v>
      </c>
      <c r="G127" s="2" t="str">
        <f>"金子　康稔"</f>
        <v>金子　康稔</v>
      </c>
      <c r="H127" s="2" t="str">
        <f>"H21.03.19"</f>
        <v>H21.03.19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</row>
    <row r="128" spans="2:15" x14ac:dyDescent="0.2">
      <c r="B128" s="2" t="str">
        <f t="shared" si="5"/>
        <v>御船</v>
      </c>
      <c r="C128" s="2" t="str">
        <f>"りんご歯科なるせ"</f>
        <v>りんご歯科なるせ</v>
      </c>
      <c r="D128" s="2" t="str">
        <f>"861-4601"</f>
        <v>861-4601</v>
      </c>
      <c r="E128" s="2" t="s">
        <v>136</v>
      </c>
      <c r="F128" s="2" t="str">
        <f>"0962340012    "</f>
        <v xml:space="preserve">0962340012    </v>
      </c>
      <c r="G128" s="2" t="str">
        <f>"医療法人　ｺｽﾒﾃｨｯｸﾃﾞﾝﾃｨｽﾄﾘｰ"</f>
        <v>医療法人　ｺｽﾒﾃｨｯｸﾃﾞﾝﾃｨｽﾄﾘｰ</v>
      </c>
      <c r="H128" s="2" t="str">
        <f>"H23.12.01"</f>
        <v>H23.12.01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</row>
    <row r="129" spans="2:15" x14ac:dyDescent="0.2">
      <c r="B129" s="2" t="str">
        <f t="shared" si="5"/>
        <v>御船</v>
      </c>
      <c r="C129" s="2" t="str">
        <f>"野田歯科医院"</f>
        <v>野田歯科医院</v>
      </c>
      <c r="D129" s="2" t="str">
        <f>"861-3518"</f>
        <v>861-3518</v>
      </c>
      <c r="E129" s="2" t="s">
        <v>137</v>
      </c>
      <c r="F129" s="2" t="str">
        <f>"0967720593    "</f>
        <v xml:space="preserve">0967720593    </v>
      </c>
      <c r="G129" s="2" t="str">
        <f>"医療法人社団　野田歯科医院"</f>
        <v>医療法人社団　野田歯科医院</v>
      </c>
      <c r="H129" s="2" t="str">
        <f>"H25.12.01"</f>
        <v>H25.12.01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</row>
    <row r="130" spans="2:15" x14ac:dyDescent="0.2">
      <c r="B130" s="2" t="str">
        <f t="shared" si="5"/>
        <v>御船</v>
      </c>
      <c r="C130" s="2" t="str">
        <f>"みやもと歯科"</f>
        <v>みやもと歯科</v>
      </c>
      <c r="D130" s="2" t="str">
        <f>"861-2244"</f>
        <v>861-2244</v>
      </c>
      <c r="E130" s="2" t="s">
        <v>138</v>
      </c>
      <c r="F130" s="2" t="str">
        <f>"0962878811    "</f>
        <v xml:space="preserve">0962878811    </v>
      </c>
      <c r="G130" s="2" t="str">
        <f>"宮本徳郎"</f>
        <v>宮本徳郎</v>
      </c>
      <c r="H130" s="2" t="str">
        <f>"H25.12.13"</f>
        <v>H25.12.13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</row>
    <row r="131" spans="2:15" x14ac:dyDescent="0.2">
      <c r="B131" s="2" t="str">
        <f t="shared" si="5"/>
        <v>御船</v>
      </c>
      <c r="C131" s="2" t="str">
        <f>"うえだＦＡＭＩＬＹ歯科"</f>
        <v>うえだＦＡＭＩＬＹ歯科</v>
      </c>
      <c r="D131" s="2" t="str">
        <f>"861-3204"</f>
        <v>861-3204</v>
      </c>
      <c r="E131" s="2" t="s">
        <v>139</v>
      </c>
      <c r="F131" s="2" t="str">
        <f>"0962811182    "</f>
        <v xml:space="preserve">0962811182    </v>
      </c>
      <c r="G131" s="2" t="str">
        <f>"医療法人ＳＭＩＬＥ　ＦＡＭＩＬＹ"</f>
        <v>医療法人ＳＭＩＬＥ　ＦＡＭＩＬＹ</v>
      </c>
      <c r="H131" s="2" t="str">
        <f>"H26.10.01"</f>
        <v>H26.10.01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</row>
    <row r="132" spans="2:15" x14ac:dyDescent="0.2">
      <c r="B132" s="2" t="str">
        <f t="shared" si="5"/>
        <v>御船</v>
      </c>
      <c r="C132" s="2" t="str">
        <f>"どうのうえ歯科クリニック"</f>
        <v>どうのうえ歯科クリニック</v>
      </c>
      <c r="D132" s="2" t="str">
        <f>"861-3518"</f>
        <v>861-3518</v>
      </c>
      <c r="E132" s="2" t="s">
        <v>140</v>
      </c>
      <c r="F132" s="2" t="str">
        <f>"0967722222    "</f>
        <v xml:space="preserve">0967722222    </v>
      </c>
      <c r="G132" s="2" t="str">
        <f>"医療法人　教栄会"</f>
        <v>医療法人　教栄会</v>
      </c>
      <c r="H132" s="2" t="str">
        <f>"H26.12.01"</f>
        <v>H26.12.01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</row>
    <row r="133" spans="2:15" x14ac:dyDescent="0.2">
      <c r="B133" s="2" t="str">
        <f t="shared" si="5"/>
        <v>御船</v>
      </c>
      <c r="C133" s="2" t="str">
        <f>"やけいし歯科"</f>
        <v>やけいし歯科</v>
      </c>
      <c r="D133" s="2" t="str">
        <f>"861-2235"</f>
        <v>861-2235</v>
      </c>
      <c r="E133" s="2" t="s">
        <v>141</v>
      </c>
      <c r="F133" s="2" t="str">
        <f>"0962867588    "</f>
        <v xml:space="preserve">0962867588    </v>
      </c>
      <c r="G133" s="2" t="str">
        <f>"矢毛石康男"</f>
        <v>矢毛石康男</v>
      </c>
      <c r="H133" s="2" t="str">
        <f>"H27.11.01"</f>
        <v>H27.11.01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</row>
    <row r="134" spans="2:15" x14ac:dyDescent="0.2">
      <c r="B134" s="2" t="str">
        <f t="shared" si="5"/>
        <v>御船</v>
      </c>
      <c r="C134" s="2" t="str">
        <f>"かんべ歯科クリニック"</f>
        <v>かんべ歯科クリニック</v>
      </c>
      <c r="D134" s="2" t="str">
        <f>"861-3207"</f>
        <v>861-3207</v>
      </c>
      <c r="E134" s="2" t="s">
        <v>142</v>
      </c>
      <c r="F134" s="2" t="str">
        <f>"0962820036    "</f>
        <v xml:space="preserve">0962820036    </v>
      </c>
      <c r="G134" s="2" t="str">
        <f>"神戸　浩"</f>
        <v>神戸　浩</v>
      </c>
      <c r="H134" s="2" t="str">
        <f>"H29.09.01"</f>
        <v>H29.09.01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</row>
    <row r="135" spans="2:15" x14ac:dyDescent="0.2">
      <c r="B135" s="2" t="str">
        <f t="shared" si="5"/>
        <v>御船</v>
      </c>
      <c r="C135" s="2" t="str">
        <f>"寺﨑歯科クリニック"</f>
        <v>寺﨑歯科クリニック</v>
      </c>
      <c r="D135" s="2" t="str">
        <f>"861-2233"</f>
        <v>861-2233</v>
      </c>
      <c r="E135" s="2" t="s">
        <v>143</v>
      </c>
      <c r="F135" s="2" t="str">
        <f>"0962898020    "</f>
        <v xml:space="preserve">0962898020    </v>
      </c>
      <c r="G135" s="2" t="str">
        <f>"医療法人恵生会"</f>
        <v>医療法人恵生会</v>
      </c>
      <c r="H135" s="2" t="str">
        <f>"H30.05.01"</f>
        <v>H30.05.01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</row>
    <row r="136" spans="2:15" x14ac:dyDescent="0.2">
      <c r="B136" s="2" t="str">
        <f t="shared" si="5"/>
        <v>御船</v>
      </c>
      <c r="C136" s="2" t="str">
        <f>"江藤歯科医院"</f>
        <v>江藤歯科医院</v>
      </c>
      <c r="D136" s="2" t="str">
        <f>"861-3207"</f>
        <v>861-3207</v>
      </c>
      <c r="E136" s="2" t="s">
        <v>144</v>
      </c>
      <c r="F136" s="2" t="str">
        <f>"0962826001    "</f>
        <v xml:space="preserve">0962826001    </v>
      </c>
      <c r="G136" s="2" t="str">
        <f>"医療法人社団　江藤会"</f>
        <v>医療法人社団　江藤会</v>
      </c>
      <c r="H136" s="2" t="str">
        <f>"R02.08.01"</f>
        <v>R02.08.01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</row>
    <row r="137" spans="2:15" x14ac:dyDescent="0.2">
      <c r="B137" s="2" t="str">
        <f t="shared" si="5"/>
        <v>御船</v>
      </c>
      <c r="C137" s="2" t="str">
        <f>"JUN歯科クリニック"</f>
        <v>JUN歯科クリニック</v>
      </c>
      <c r="D137" s="2" t="str">
        <f>"861-2241"</f>
        <v>861-2241</v>
      </c>
      <c r="E137" s="2" t="s">
        <v>145</v>
      </c>
      <c r="F137" s="2" t="str">
        <f>"0962861188    "</f>
        <v xml:space="preserve">0962861188    </v>
      </c>
      <c r="G137" s="2" t="str">
        <f>"二渡　淳"</f>
        <v>二渡　淳</v>
      </c>
      <c r="H137" s="2" t="str">
        <f>"R04.09.30"</f>
        <v>R04.09.30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</row>
    <row r="138" spans="2:15" x14ac:dyDescent="0.2">
      <c r="B138" s="2" t="str">
        <f t="shared" si="5"/>
        <v>御船</v>
      </c>
      <c r="C138" s="2" t="str">
        <f>"ありむら歯科医院"</f>
        <v>ありむら歯科医院</v>
      </c>
      <c r="D138" s="2" t="str">
        <f>"861-3101"</f>
        <v>861-3101</v>
      </c>
      <c r="E138" s="2" t="s">
        <v>146</v>
      </c>
      <c r="F138" s="2" t="str">
        <f>"0962354618    "</f>
        <v xml:space="preserve">0962354618    </v>
      </c>
      <c r="G138" s="2" t="str">
        <f>"医療法人誠心会ありむら歯科医院"</f>
        <v>医療法人誠心会ありむら歯科医院</v>
      </c>
      <c r="H138" s="2" t="str">
        <f>"R06.01.01"</f>
        <v>R06.01.01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</row>
    <row r="139" spans="2:15" x14ac:dyDescent="0.2">
      <c r="B139" s="2" t="str">
        <f t="shared" si="5"/>
        <v>御船</v>
      </c>
      <c r="C139" s="2" t="str">
        <f>"イッコウ歯科医院"</f>
        <v>イッコウ歯科医院</v>
      </c>
      <c r="D139" s="2" t="str">
        <f>"861-3106"</f>
        <v>861-3106</v>
      </c>
      <c r="E139" s="2" t="s">
        <v>147</v>
      </c>
      <c r="F139" s="2" t="str">
        <f>"0962347215    "</f>
        <v xml:space="preserve">0962347215    </v>
      </c>
      <c r="G139" s="2" t="str">
        <f>"医療法人顕美会"</f>
        <v>医療法人顕美会</v>
      </c>
      <c r="H139" s="2" t="str">
        <f>"R06.02.01"</f>
        <v>R06.02.01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</row>
    <row r="140" spans="2:15" x14ac:dyDescent="0.2">
      <c r="B140" s="2" t="str">
        <f t="shared" si="5"/>
        <v>御船</v>
      </c>
      <c r="C140" s="2" t="str">
        <f>"おおた歯科クリニック"</f>
        <v>おおた歯科クリニック</v>
      </c>
      <c r="D140" s="2" t="str">
        <f>"861-3204"</f>
        <v>861-3204</v>
      </c>
      <c r="E140" s="2" t="s">
        <v>148</v>
      </c>
      <c r="F140" s="2" t="str">
        <f>"0962025860    "</f>
        <v xml:space="preserve">0962025860    </v>
      </c>
      <c r="G140" s="2" t="str">
        <f>"医療法人優歯会"</f>
        <v>医療法人優歯会</v>
      </c>
      <c r="H140" s="2" t="str">
        <f>"R06.12.01"</f>
        <v>R06.12.01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</row>
    <row r="141" spans="2:15" x14ac:dyDescent="0.2">
      <c r="B141" s="2" t="str">
        <f t="shared" si="5"/>
        <v>御船</v>
      </c>
      <c r="C141" s="2" t="str">
        <f>"内野玲歯科"</f>
        <v>内野玲歯科</v>
      </c>
      <c r="D141" s="2" t="str">
        <f>"861-2241"</f>
        <v>861-2241</v>
      </c>
      <c r="E141" s="2" t="s">
        <v>149</v>
      </c>
      <c r="F141" s="2" t="str">
        <f>"0962438241    "</f>
        <v xml:space="preserve">0962438241    </v>
      </c>
      <c r="G141" s="2" t="str">
        <f>"内野玲"</f>
        <v>内野玲</v>
      </c>
      <c r="H141" s="2" t="str">
        <f>"R06.12.19"</f>
        <v>R06.12.19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</row>
    <row r="142" spans="2:15" x14ac:dyDescent="0.2">
      <c r="B142" s="2" t="str">
        <f t="shared" si="5"/>
        <v>御船</v>
      </c>
      <c r="C142" s="2" t="str">
        <f>"いわた歯科医院"</f>
        <v>いわた歯科医院</v>
      </c>
      <c r="D142" s="2" t="str">
        <f>"861-2233"</f>
        <v>861-2233</v>
      </c>
      <c r="E142" s="2" t="s">
        <v>150</v>
      </c>
      <c r="F142" s="2" t="str">
        <f>"0962861417    "</f>
        <v xml:space="preserve">0962861417    </v>
      </c>
      <c r="G142" s="2" t="str">
        <f>"岩田　浩志"</f>
        <v>岩田　浩志</v>
      </c>
      <c r="H142" s="2" t="str">
        <f>"R03.12.20"</f>
        <v>R03.12.20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</row>
    <row r="143" spans="2:15" x14ac:dyDescent="0.2">
      <c r="B143" s="2" t="str">
        <f t="shared" si="5"/>
        <v>御船</v>
      </c>
      <c r="C143" s="2" t="str">
        <f>"クドウ歯科医院"</f>
        <v>クドウ歯科医院</v>
      </c>
      <c r="D143" s="2" t="str">
        <f>"861-3101"</f>
        <v>861-3101</v>
      </c>
      <c r="E143" s="2" t="s">
        <v>151</v>
      </c>
      <c r="F143" s="2" t="str">
        <f>"0962372801    "</f>
        <v xml:space="preserve">0962372801    </v>
      </c>
      <c r="G143" s="2" t="str">
        <f>"医療法人虹明会"</f>
        <v>医療法人虹明会</v>
      </c>
      <c r="H143" s="2" t="str">
        <f>"R08.04.01"</f>
        <v>R08.04.01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</row>
    <row r="144" spans="2:15" x14ac:dyDescent="0.2">
      <c r="B144" s="2" t="str">
        <f t="shared" ref="B144:B175" si="6">"八代"</f>
        <v>八代</v>
      </c>
      <c r="C144" s="2" t="str">
        <f>"井手尾歯科医院"</f>
        <v>井手尾歯科医院</v>
      </c>
      <c r="D144" s="2" t="str">
        <f>"866-0852"</f>
        <v>866-0852</v>
      </c>
      <c r="E144" s="2" t="s">
        <v>152</v>
      </c>
      <c r="F144" s="2" t="str">
        <f>"0965323663    "</f>
        <v xml:space="preserve">0965323663    </v>
      </c>
      <c r="G144" s="2" t="str">
        <f>"井手尾寛志"</f>
        <v>井手尾寛志</v>
      </c>
      <c r="H144" s="2" t="str">
        <f>"H03.03.01"</f>
        <v>H03.03.01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</row>
    <row r="145" spans="2:15" x14ac:dyDescent="0.2">
      <c r="B145" s="2" t="str">
        <f t="shared" si="6"/>
        <v>八代</v>
      </c>
      <c r="C145" s="2" t="str">
        <f>"井上歯科クリニック"</f>
        <v>井上歯科クリニック</v>
      </c>
      <c r="D145" s="2" t="str">
        <f>"866-0883"</f>
        <v>866-0883</v>
      </c>
      <c r="E145" s="2" t="s">
        <v>153</v>
      </c>
      <c r="F145" s="2" t="str">
        <f>"0965397335    "</f>
        <v xml:space="preserve">0965397335    </v>
      </c>
      <c r="G145" s="2" t="str">
        <f>"医療法人社団　井上歯科クリニック"</f>
        <v>医療法人社団　井上歯科クリニック</v>
      </c>
      <c r="H145" s="2" t="str">
        <f>"H15.04.14"</f>
        <v>H15.04.14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</row>
    <row r="146" spans="2:15" x14ac:dyDescent="0.2">
      <c r="B146" s="2" t="str">
        <f t="shared" si="6"/>
        <v>八代</v>
      </c>
      <c r="C146" s="2" t="str">
        <f>"岩崎歯科医院"</f>
        <v>岩崎歯科医院</v>
      </c>
      <c r="D146" s="2" t="str">
        <f>"866-0861"</f>
        <v>866-0861</v>
      </c>
      <c r="E146" s="2" t="s">
        <v>154</v>
      </c>
      <c r="F146" s="2" t="str">
        <f>"0965341848    "</f>
        <v xml:space="preserve">0965341848    </v>
      </c>
      <c r="G146" s="2" t="str">
        <f>"岩崎　晃司"</f>
        <v>岩崎　晃司</v>
      </c>
      <c r="H146" s="2" t="str">
        <f>"H13.01.01"</f>
        <v>H13.01.01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</row>
    <row r="147" spans="2:15" x14ac:dyDescent="0.2">
      <c r="B147" s="2" t="str">
        <f t="shared" si="6"/>
        <v>八代</v>
      </c>
      <c r="C147" s="2" t="str">
        <f>"犬童矯正歯科クリニック"</f>
        <v>犬童矯正歯科クリニック</v>
      </c>
      <c r="D147" s="2" t="str">
        <f>"866-0857"</f>
        <v>866-0857</v>
      </c>
      <c r="E147" s="2" t="s">
        <v>155</v>
      </c>
      <c r="F147" s="2" t="str">
        <f>"0965323571    "</f>
        <v xml:space="preserve">0965323571    </v>
      </c>
      <c r="G147" s="2" t="str">
        <f>"医療法人　デンタル・アート"</f>
        <v>医療法人　デンタル・アート</v>
      </c>
      <c r="H147" s="2" t="str">
        <f>"H11.01.01"</f>
        <v>H11.01.01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</row>
    <row r="148" spans="2:15" x14ac:dyDescent="0.2">
      <c r="B148" s="2" t="str">
        <f t="shared" si="6"/>
        <v>八代</v>
      </c>
      <c r="C148" s="2" t="str">
        <f>"北里歯科医院"</f>
        <v>北里歯科医院</v>
      </c>
      <c r="D148" s="2" t="str">
        <f>"866-0055"</f>
        <v>866-0055</v>
      </c>
      <c r="E148" s="2" t="s">
        <v>156</v>
      </c>
      <c r="F148" s="2" t="str">
        <f>"0965325517    "</f>
        <v xml:space="preserve">0965325517    </v>
      </c>
      <c r="G148" s="2" t="str">
        <f>"北里　雄二"</f>
        <v>北里　雄二</v>
      </c>
      <c r="H148" s="2" t="str">
        <f>"H14.04.01"</f>
        <v>H14.04.01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</row>
    <row r="149" spans="2:15" x14ac:dyDescent="0.2">
      <c r="B149" s="2" t="str">
        <f t="shared" si="6"/>
        <v>八代</v>
      </c>
      <c r="C149" s="2" t="str">
        <f>"きはら歯科"</f>
        <v>きはら歯科</v>
      </c>
      <c r="D149" s="2" t="str">
        <f>"866-0831"</f>
        <v>866-0831</v>
      </c>
      <c r="E149" s="2" t="s">
        <v>157</v>
      </c>
      <c r="F149" s="2" t="str">
        <f>"0965338920    "</f>
        <v xml:space="preserve">0965338920    </v>
      </c>
      <c r="G149" s="2" t="str">
        <f>"木原　良材"</f>
        <v>木原　良材</v>
      </c>
      <c r="H149" s="2" t="str">
        <f>"H09.06.18"</f>
        <v>H09.06.18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</row>
    <row r="150" spans="2:15" x14ac:dyDescent="0.2">
      <c r="B150" s="2" t="str">
        <f t="shared" si="6"/>
        <v>八代</v>
      </c>
      <c r="C150" s="2" t="str">
        <f>"古城歯科矯正歯科医院"</f>
        <v>古城歯科矯正歯科医院</v>
      </c>
      <c r="D150" s="2" t="str">
        <f>"866-0043"</f>
        <v>866-0043</v>
      </c>
      <c r="E150" s="2" t="s">
        <v>158</v>
      </c>
      <c r="F150" s="2" t="str">
        <f>"0965343344    "</f>
        <v xml:space="preserve">0965343344    </v>
      </c>
      <c r="G150" s="2" t="str">
        <f>"医療法人社団　古城歯科矯正歯科医院"</f>
        <v>医療法人社団　古城歯科矯正歯科医院</v>
      </c>
      <c r="H150" s="2" t="str">
        <f>"H06.04.01"</f>
        <v>H06.04.01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</row>
    <row r="151" spans="2:15" x14ac:dyDescent="0.2">
      <c r="B151" s="2" t="str">
        <f t="shared" si="6"/>
        <v>八代</v>
      </c>
      <c r="C151" s="2" t="str">
        <f>"坂井歯科医院"</f>
        <v>坂井歯科医院</v>
      </c>
      <c r="D151" s="2" t="str">
        <f>"866-0856"</f>
        <v>866-0856</v>
      </c>
      <c r="E151" s="2" t="s">
        <v>159</v>
      </c>
      <c r="F151" s="2" t="str">
        <f>"0965326280    "</f>
        <v xml:space="preserve">0965326280    </v>
      </c>
      <c r="G151" s="2" t="str">
        <f>"医療法人社団　坂井会"</f>
        <v>医療法人社団　坂井会</v>
      </c>
      <c r="H151" s="2" t="str">
        <f>"H04.05.16"</f>
        <v>H04.05.16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</row>
    <row r="152" spans="2:15" x14ac:dyDescent="0.2">
      <c r="B152" s="2" t="str">
        <f t="shared" si="6"/>
        <v>八代</v>
      </c>
      <c r="C152" s="2" t="str">
        <f>"たかた歯科医院"</f>
        <v>たかた歯科医院</v>
      </c>
      <c r="D152" s="2" t="str">
        <f>"866-0072"</f>
        <v>866-0072</v>
      </c>
      <c r="E152" s="2" t="s">
        <v>160</v>
      </c>
      <c r="F152" s="2" t="str">
        <f>"0965346054    "</f>
        <v xml:space="preserve">0965346054    </v>
      </c>
      <c r="G152" s="2" t="str">
        <f>"高田　博樹"</f>
        <v>高田　博樹</v>
      </c>
      <c r="H152" s="2" t="str">
        <f>"H08.04.16"</f>
        <v>H08.04.16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</row>
    <row r="153" spans="2:15" x14ac:dyDescent="0.2">
      <c r="B153" s="2" t="str">
        <f t="shared" si="6"/>
        <v>八代</v>
      </c>
      <c r="C153" s="2" t="str">
        <f>"谷川歯科医院"</f>
        <v>谷川歯科医院</v>
      </c>
      <c r="D153" s="2" t="str">
        <f>"866-0861"</f>
        <v>866-0861</v>
      </c>
      <c r="E153" s="2" t="s">
        <v>161</v>
      </c>
      <c r="F153" s="2" t="str">
        <f>"0965327500    "</f>
        <v xml:space="preserve">0965327500    </v>
      </c>
      <c r="G153" s="2" t="str">
        <f>"医療法人社団　谷川歯科医院"</f>
        <v>医療法人社団　谷川歯科医院</v>
      </c>
      <c r="H153" s="2" t="str">
        <f>"H01.12.01"</f>
        <v>H01.12.01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</row>
    <row r="154" spans="2:15" x14ac:dyDescent="0.2">
      <c r="B154" s="2" t="str">
        <f t="shared" si="6"/>
        <v>八代</v>
      </c>
      <c r="C154" s="2" t="str">
        <f>"鶴田歯科医院"</f>
        <v>鶴田歯科医院</v>
      </c>
      <c r="D154" s="2" t="str">
        <f>"866-0893"</f>
        <v>866-0893</v>
      </c>
      <c r="E154" s="2" t="s">
        <v>162</v>
      </c>
      <c r="F154" s="2" t="str">
        <f>"0965338148    "</f>
        <v xml:space="preserve">0965338148    </v>
      </c>
      <c r="G154" s="2" t="str">
        <f>"鶴田　善久"</f>
        <v>鶴田　善久</v>
      </c>
      <c r="H154" s="2" t="str">
        <f>"H08.04.11"</f>
        <v>H08.04.11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</row>
    <row r="155" spans="2:15" x14ac:dyDescent="0.2">
      <c r="B155" s="2" t="str">
        <f t="shared" si="6"/>
        <v>八代</v>
      </c>
      <c r="C155" s="2" t="str">
        <f>"野田歯科医院"</f>
        <v>野田歯科医院</v>
      </c>
      <c r="D155" s="2" t="str">
        <f>"866-0851"</f>
        <v>866-0851</v>
      </c>
      <c r="E155" s="2" t="s">
        <v>163</v>
      </c>
      <c r="F155" s="2" t="str">
        <f>"0965351358    "</f>
        <v xml:space="preserve">0965351358    </v>
      </c>
      <c r="G155" s="2" t="str">
        <f>"野田　和夫"</f>
        <v>野田　和夫</v>
      </c>
      <c r="H155" s="2" t="str">
        <f>"H03.11.01"</f>
        <v>H03.11.01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</row>
    <row r="156" spans="2:15" x14ac:dyDescent="0.2">
      <c r="B156" s="2" t="str">
        <f t="shared" si="6"/>
        <v>八代</v>
      </c>
      <c r="C156" s="2" t="str">
        <f>"増田歯科医院"</f>
        <v>増田歯科医院</v>
      </c>
      <c r="D156" s="2" t="str">
        <f>"866-0861"</f>
        <v>866-0861</v>
      </c>
      <c r="E156" s="2" t="s">
        <v>164</v>
      </c>
      <c r="F156" s="2" t="str">
        <f>"0965323264    "</f>
        <v xml:space="preserve">0965323264    </v>
      </c>
      <c r="G156" s="2" t="str">
        <f>"医療法人社団　増田歯科医院"</f>
        <v>医療法人社団　増田歯科医院</v>
      </c>
      <c r="H156" s="2" t="str">
        <f>"H02.03.01"</f>
        <v>H02.03.01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</row>
    <row r="157" spans="2:15" x14ac:dyDescent="0.2">
      <c r="B157" s="2" t="str">
        <f t="shared" si="6"/>
        <v>八代</v>
      </c>
      <c r="C157" s="2" t="str">
        <f>"緑ヶ丘歯科医院"</f>
        <v>緑ヶ丘歯科医院</v>
      </c>
      <c r="D157" s="2" t="str">
        <f>"866-0032"</f>
        <v>866-0032</v>
      </c>
      <c r="E157" s="2" t="s">
        <v>165</v>
      </c>
      <c r="F157" s="2" t="str">
        <f>"0965318800    "</f>
        <v xml:space="preserve">0965318800    </v>
      </c>
      <c r="G157" s="2" t="str">
        <f>"医）社団　わかば歯科"</f>
        <v>医）社団　わかば歯科</v>
      </c>
      <c r="H157" s="2" t="str">
        <f>"H06.06.01"</f>
        <v>H06.06.01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</row>
    <row r="158" spans="2:15" x14ac:dyDescent="0.2">
      <c r="B158" s="2" t="str">
        <f t="shared" si="6"/>
        <v>八代</v>
      </c>
      <c r="C158" s="2" t="str">
        <f>"みのだ歯科医院"</f>
        <v>みのだ歯科医院</v>
      </c>
      <c r="D158" s="2" t="str">
        <f>"866-0877"</f>
        <v>866-0877</v>
      </c>
      <c r="E158" s="2" t="s">
        <v>166</v>
      </c>
      <c r="F158" s="2" t="str">
        <f>"0965357700    "</f>
        <v xml:space="preserve">0965357700    </v>
      </c>
      <c r="G158" s="2" t="str">
        <f>"簑田　雄二"</f>
        <v>簑田　雄二</v>
      </c>
      <c r="H158" s="2" t="str">
        <f>"H04.05.16"</f>
        <v>H04.05.16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</row>
    <row r="159" spans="2:15" x14ac:dyDescent="0.2">
      <c r="B159" s="2" t="str">
        <f t="shared" si="6"/>
        <v>八代</v>
      </c>
      <c r="C159" s="2" t="str">
        <f>"みやい歯科医院"</f>
        <v>みやい歯科医院</v>
      </c>
      <c r="D159" s="2" t="str">
        <f>"866-0085"</f>
        <v>866-0085</v>
      </c>
      <c r="E159" s="2" t="s">
        <v>167</v>
      </c>
      <c r="F159" s="2" t="str">
        <f>"0965393033    "</f>
        <v xml:space="preserve">0965393033    </v>
      </c>
      <c r="G159" s="2" t="str">
        <f>"宮井　祐"</f>
        <v>宮井　祐</v>
      </c>
      <c r="H159" s="2" t="str">
        <f>"H14.06.21"</f>
        <v>H14.06.21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</row>
    <row r="160" spans="2:15" x14ac:dyDescent="0.2">
      <c r="B160" s="2" t="str">
        <f t="shared" si="6"/>
        <v>八代</v>
      </c>
      <c r="C160" s="2" t="str">
        <f>"みやざき歯科・こども歯科"</f>
        <v>みやざき歯科・こども歯科</v>
      </c>
      <c r="D160" s="2" t="str">
        <f>"866-0865"</f>
        <v>866-0865</v>
      </c>
      <c r="E160" s="2" t="s">
        <v>168</v>
      </c>
      <c r="F160" s="2" t="str">
        <f>"0965339812    "</f>
        <v xml:space="preserve">0965339812    </v>
      </c>
      <c r="G160" s="2" t="str">
        <f>"宮﨑　修一"</f>
        <v>宮﨑　修一</v>
      </c>
      <c r="H160" s="2" t="str">
        <f>"H15.07.10"</f>
        <v>H15.07.10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</row>
    <row r="161" spans="2:15" x14ac:dyDescent="0.2">
      <c r="B161" s="2" t="str">
        <f t="shared" si="6"/>
        <v>八代</v>
      </c>
      <c r="C161" s="2" t="str">
        <f>"守永歯科医院"</f>
        <v>守永歯科医院</v>
      </c>
      <c r="D161" s="2" t="str">
        <f>"866-0055"</f>
        <v>866-0055</v>
      </c>
      <c r="E161" s="2" t="s">
        <v>169</v>
      </c>
      <c r="F161" s="2" t="str">
        <f>"0965334180    "</f>
        <v xml:space="preserve">0965334180    </v>
      </c>
      <c r="G161" s="2" t="str">
        <f>"守永　純一"</f>
        <v>守永　純一</v>
      </c>
      <c r="H161" s="2" t="str">
        <f>"S62.06.19"</f>
        <v>S62.06.19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</row>
    <row r="162" spans="2:15" x14ac:dyDescent="0.2">
      <c r="B162" s="2" t="str">
        <f t="shared" si="6"/>
        <v>八代</v>
      </c>
      <c r="C162" s="2" t="str">
        <f>"八代歯科医師会口腔保健センター"</f>
        <v>八代歯科医師会口腔保健センター</v>
      </c>
      <c r="D162" s="2" t="str">
        <f>"866-0894"</f>
        <v>866-0894</v>
      </c>
      <c r="E162" s="2" t="s">
        <v>170</v>
      </c>
      <c r="F162" s="2" t="str">
        <f>"0965318020    "</f>
        <v xml:space="preserve">0965318020    </v>
      </c>
      <c r="G162" s="2" t="str">
        <f>"一般社団法人　八代歯科医師会"</f>
        <v>一般社団法人　八代歯科医師会</v>
      </c>
      <c r="H162" s="2" t="str">
        <f>"H10.07.08"</f>
        <v>H10.07.08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</row>
    <row r="163" spans="2:15" x14ac:dyDescent="0.2">
      <c r="B163" s="2" t="str">
        <f t="shared" si="6"/>
        <v>八代</v>
      </c>
      <c r="C163" s="2" t="str">
        <f>"山口透歯科医院"</f>
        <v>山口透歯科医院</v>
      </c>
      <c r="D163" s="2" t="str">
        <f>"866-0022"</f>
        <v>866-0022</v>
      </c>
      <c r="E163" s="2" t="s">
        <v>171</v>
      </c>
      <c r="F163" s="2" t="str">
        <f>"0965372010    "</f>
        <v xml:space="preserve">0965372010    </v>
      </c>
      <c r="G163" s="2" t="str">
        <f>"山口　透"</f>
        <v>山口　透</v>
      </c>
      <c r="H163" s="2" t="str">
        <f>"H05.04.08"</f>
        <v>H05.04.08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</row>
    <row r="164" spans="2:15" x14ac:dyDescent="0.2">
      <c r="B164" s="2" t="str">
        <f t="shared" si="6"/>
        <v>八代</v>
      </c>
      <c r="C164" s="2" t="str">
        <f>"横手歯科クリニック"</f>
        <v>横手歯科クリニック</v>
      </c>
      <c r="D164" s="2" t="str">
        <f>"866-0873"</f>
        <v>866-0873</v>
      </c>
      <c r="E164" s="2" t="s">
        <v>172</v>
      </c>
      <c r="F164" s="2" t="str">
        <f>"0965329395    "</f>
        <v xml:space="preserve">0965329395    </v>
      </c>
      <c r="G164" s="2" t="str">
        <f>"医療法人社団　横手歯科クリニック"</f>
        <v>医療法人社団　横手歯科クリニック</v>
      </c>
      <c r="H164" s="2" t="str">
        <f>"H15.09.29"</f>
        <v>H15.09.29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</row>
    <row r="165" spans="2:15" x14ac:dyDescent="0.2">
      <c r="B165" s="2" t="str">
        <f t="shared" si="6"/>
        <v>八代</v>
      </c>
      <c r="C165" s="2" t="str">
        <f>"わかみや歯科クリニック"</f>
        <v>わかみや歯科クリニック</v>
      </c>
      <c r="D165" s="2" t="str">
        <f>"866-0898"</f>
        <v>866-0898</v>
      </c>
      <c r="E165" s="2" t="s">
        <v>173</v>
      </c>
      <c r="F165" s="2" t="str">
        <f>"0965310333    "</f>
        <v xml:space="preserve">0965310333    </v>
      </c>
      <c r="G165" s="2" t="str">
        <f>"宮本　奉和"</f>
        <v>宮本　奉和</v>
      </c>
      <c r="H165" s="2" t="str">
        <f>"H05.05.12"</f>
        <v>H05.05.12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</row>
    <row r="166" spans="2:15" x14ac:dyDescent="0.2">
      <c r="B166" s="2" t="str">
        <f t="shared" si="6"/>
        <v>八代</v>
      </c>
      <c r="C166" s="2" t="str">
        <f>"渡辺歯科医院"</f>
        <v>渡辺歯科医院</v>
      </c>
      <c r="D166" s="2" t="str">
        <f>"866-0894"</f>
        <v>866-0894</v>
      </c>
      <c r="E166" s="2" t="s">
        <v>174</v>
      </c>
      <c r="F166" s="2" t="str">
        <f>"0965350011    "</f>
        <v xml:space="preserve">0965350011    </v>
      </c>
      <c r="G166" s="2" t="str">
        <f>"医療法人　大輝会"</f>
        <v>医療法人　大輝会</v>
      </c>
      <c r="H166" s="2" t="str">
        <f>"H13.10.01"</f>
        <v>H13.10.01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</row>
    <row r="167" spans="2:15" x14ac:dyDescent="0.2">
      <c r="B167" s="2" t="str">
        <f t="shared" si="6"/>
        <v>八代</v>
      </c>
      <c r="C167" s="2" t="str">
        <f>"上野歯科医院"</f>
        <v>上野歯科医院</v>
      </c>
      <c r="D167" s="2" t="str">
        <f>"869-4704"</f>
        <v>869-4704</v>
      </c>
      <c r="E167" s="2" t="s">
        <v>175</v>
      </c>
      <c r="F167" s="2" t="str">
        <f>"0965461000    "</f>
        <v xml:space="preserve">0965461000    </v>
      </c>
      <c r="G167" s="2" t="str">
        <f>"上野　亮一"</f>
        <v>上野　亮一</v>
      </c>
      <c r="H167" s="2" t="str">
        <f>"S60.04.30"</f>
        <v>S60.04.30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</row>
    <row r="168" spans="2:15" x14ac:dyDescent="0.2">
      <c r="B168" s="2" t="str">
        <f t="shared" si="6"/>
        <v>八代</v>
      </c>
      <c r="C168" s="2" t="str">
        <f>"岡田歯科医院"</f>
        <v>岡田歯科医院</v>
      </c>
      <c r="D168" s="2" t="str">
        <f>"869-4203"</f>
        <v>869-4203</v>
      </c>
      <c r="E168" s="2" t="s">
        <v>176</v>
      </c>
      <c r="F168" s="2" t="str">
        <f>"0965528484    "</f>
        <v xml:space="preserve">0965528484    </v>
      </c>
      <c r="G168" s="2" t="str">
        <f>"岡田　長久"</f>
        <v>岡田　長久</v>
      </c>
      <c r="H168" s="2" t="str">
        <f>"H03.07.23"</f>
        <v>H03.07.23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</row>
    <row r="169" spans="2:15" x14ac:dyDescent="0.2">
      <c r="B169" s="2" t="str">
        <f t="shared" si="6"/>
        <v>八代</v>
      </c>
      <c r="C169" s="2" t="str">
        <f>"鏡歯科医院"</f>
        <v>鏡歯科医院</v>
      </c>
      <c r="D169" s="2" t="str">
        <f>"869-4222"</f>
        <v>869-4222</v>
      </c>
      <c r="E169" s="2" t="s">
        <v>177</v>
      </c>
      <c r="F169" s="2" t="str">
        <f>"0965525110    "</f>
        <v xml:space="preserve">0965525110    </v>
      </c>
      <c r="G169" s="2" t="str">
        <f>"医療法人社団　鏡会"</f>
        <v>医療法人社団　鏡会</v>
      </c>
      <c r="H169" s="2" t="str">
        <f>"H08.03.01"</f>
        <v>H08.03.01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</row>
    <row r="170" spans="2:15" x14ac:dyDescent="0.2">
      <c r="B170" s="2" t="str">
        <f t="shared" si="6"/>
        <v>八代</v>
      </c>
      <c r="C170" s="2" t="str">
        <f>"やまデンタルクリニック"</f>
        <v>やまデンタルクリニック</v>
      </c>
      <c r="D170" s="2" t="str">
        <f>"869-4201"</f>
        <v>869-4201</v>
      </c>
      <c r="E170" s="2" t="s">
        <v>178</v>
      </c>
      <c r="F170" s="2" t="str">
        <f>"0965520421    "</f>
        <v xml:space="preserve">0965520421    </v>
      </c>
      <c r="G170" s="2" t="str">
        <f>"医療法人社団　中津留会"</f>
        <v>医療法人社団　中津留会</v>
      </c>
      <c r="H170" s="2" t="str">
        <f>"S59.04.13"</f>
        <v>S59.04.13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</row>
    <row r="171" spans="2:15" x14ac:dyDescent="0.2">
      <c r="B171" s="2" t="str">
        <f t="shared" si="6"/>
        <v>八代</v>
      </c>
      <c r="C171" s="2" t="str">
        <f>"水上歯科医院"</f>
        <v>水上歯科医院</v>
      </c>
      <c r="D171" s="2" t="str">
        <f>"869-4201"</f>
        <v>869-4201</v>
      </c>
      <c r="E171" s="2" t="s">
        <v>179</v>
      </c>
      <c r="F171" s="2" t="str">
        <f>"0965526666    "</f>
        <v xml:space="preserve">0965526666    </v>
      </c>
      <c r="G171" s="2" t="str">
        <f>"水上　正太"</f>
        <v>水上　正太</v>
      </c>
      <c r="H171" s="2" t="str">
        <f>"S57.07.30"</f>
        <v>S57.07.30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</row>
    <row r="172" spans="2:15" x14ac:dyDescent="0.2">
      <c r="B172" s="2" t="str">
        <f t="shared" si="6"/>
        <v>八代</v>
      </c>
      <c r="C172" s="2" t="str">
        <f>"溝口歯科医院"</f>
        <v>溝口歯科医院</v>
      </c>
      <c r="D172" s="2" t="str">
        <f>"869-4202"</f>
        <v>869-4202</v>
      </c>
      <c r="E172" s="2" t="s">
        <v>180</v>
      </c>
      <c r="F172" s="2" t="str">
        <f>"0965528880    "</f>
        <v xml:space="preserve">0965528880    </v>
      </c>
      <c r="G172" s="2" t="str">
        <f>"溝口　貴志"</f>
        <v>溝口　貴志</v>
      </c>
      <c r="H172" s="2" t="str">
        <f>"H15.06.18"</f>
        <v>H15.06.18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</row>
    <row r="173" spans="2:15" x14ac:dyDescent="0.2">
      <c r="B173" s="2" t="str">
        <f t="shared" si="6"/>
        <v>八代</v>
      </c>
      <c r="C173" s="2" t="str">
        <f>"中村歯科医院"</f>
        <v>中村歯科医院</v>
      </c>
      <c r="D173" s="2" t="str">
        <f>"869-4815"</f>
        <v>869-4815</v>
      </c>
      <c r="E173" s="2" t="s">
        <v>181</v>
      </c>
      <c r="F173" s="2" t="str">
        <f>"0965526401    "</f>
        <v xml:space="preserve">0965526401    </v>
      </c>
      <c r="G173" s="2" t="str">
        <f>"中村　公靖"</f>
        <v>中村　公靖</v>
      </c>
      <c r="H173" s="2" t="str">
        <f>"H11.02.01"</f>
        <v>H11.02.01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</row>
    <row r="174" spans="2:15" x14ac:dyDescent="0.2">
      <c r="B174" s="2" t="str">
        <f t="shared" si="6"/>
        <v>八代</v>
      </c>
      <c r="C174" s="2" t="str">
        <f>"八代市立泉歯科診療所"</f>
        <v>八代市立泉歯科診療所</v>
      </c>
      <c r="D174" s="2" t="str">
        <f>"869-4401"</f>
        <v>869-4401</v>
      </c>
      <c r="E174" s="2" t="s">
        <v>182</v>
      </c>
      <c r="F174" s="2" t="str">
        <f>"0965673511    "</f>
        <v xml:space="preserve">0965673511    </v>
      </c>
      <c r="G174" s="2" t="str">
        <f>"八代市"</f>
        <v>八代市</v>
      </c>
      <c r="H174" s="2" t="str">
        <f>"H17.08.01"</f>
        <v>H17.08.01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</row>
    <row r="175" spans="2:15" x14ac:dyDescent="0.2">
      <c r="B175" s="2" t="str">
        <f t="shared" si="6"/>
        <v>八代</v>
      </c>
      <c r="C175" s="2" t="str">
        <f>"つばめ歯科クリニック"</f>
        <v>つばめ歯科クリニック</v>
      </c>
      <c r="D175" s="2" t="str">
        <f>"866-0045"</f>
        <v>866-0045</v>
      </c>
      <c r="E175" s="2" t="s">
        <v>183</v>
      </c>
      <c r="F175" s="2" t="str">
        <f>"0965394182    "</f>
        <v xml:space="preserve">0965394182    </v>
      </c>
      <c r="G175" s="2" t="str">
        <f>"医療法人オリオン会"</f>
        <v>医療法人オリオン会</v>
      </c>
      <c r="H175" s="2" t="str">
        <f>"H19.01.01"</f>
        <v>H19.01.01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</row>
    <row r="176" spans="2:15" x14ac:dyDescent="0.2">
      <c r="B176" s="2" t="str">
        <f t="shared" ref="B176:B208" si="7">"八代"</f>
        <v>八代</v>
      </c>
      <c r="C176" s="2" t="str">
        <f>"こだま歯科クリニック"</f>
        <v>こだま歯科クリニック</v>
      </c>
      <c r="D176" s="2" t="str">
        <f>"866-0826"</f>
        <v>866-0826</v>
      </c>
      <c r="E176" s="2" t="s">
        <v>184</v>
      </c>
      <c r="F176" s="2" t="str">
        <f>"0965344618    "</f>
        <v xml:space="preserve">0965344618    </v>
      </c>
      <c r="G176" s="2" t="str">
        <f>"小寺　美穂"</f>
        <v>小寺　美穂</v>
      </c>
      <c r="H176" s="2" t="str">
        <f>"H19.03.15"</f>
        <v>H19.03.15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</row>
    <row r="177" spans="2:15" x14ac:dyDescent="0.2">
      <c r="B177" s="2" t="str">
        <f t="shared" si="7"/>
        <v>八代</v>
      </c>
      <c r="C177" s="2" t="str">
        <f>"ｎｉｎａ　Ｄｅｎｔａｌ　Ｃｌｉｎｉｃ"</f>
        <v>ｎｉｎａ　Ｄｅｎｔａｌ　Ｃｌｉｎｉｃ</v>
      </c>
      <c r="D177" s="2" t="str">
        <f>"866-0871"</f>
        <v>866-0871</v>
      </c>
      <c r="E177" s="2" t="s">
        <v>185</v>
      </c>
      <c r="F177" s="2" t="str">
        <f>"0965342113    "</f>
        <v xml:space="preserve">0965342113    </v>
      </c>
      <c r="G177" s="2" t="str">
        <f>"医療法人　ｋｕｌａｋａｌａ会"</f>
        <v>医療法人　ｋｕｌａｋａｌａ会</v>
      </c>
      <c r="H177" s="2" t="str">
        <f>"H19.06.01"</f>
        <v>H19.06.01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</row>
    <row r="178" spans="2:15" x14ac:dyDescent="0.2">
      <c r="B178" s="2" t="str">
        <f t="shared" si="7"/>
        <v>八代</v>
      </c>
      <c r="C178" s="2" t="str">
        <f>"高野歯科クリニック"</f>
        <v>高野歯科クリニック</v>
      </c>
      <c r="D178" s="2" t="str">
        <f>"866-0861"</f>
        <v>866-0861</v>
      </c>
      <c r="E178" s="2" t="s">
        <v>186</v>
      </c>
      <c r="F178" s="2" t="str">
        <f>"0965343336    "</f>
        <v xml:space="preserve">0965343336    </v>
      </c>
      <c r="G178" s="2" t="str">
        <f>"高野明夫"</f>
        <v>高野明夫</v>
      </c>
      <c r="H178" s="2" t="str">
        <f>"H20.09.16"</f>
        <v>H20.09.16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</row>
    <row r="179" spans="2:15" x14ac:dyDescent="0.2">
      <c r="B179" s="2" t="str">
        <f t="shared" si="7"/>
        <v>八代</v>
      </c>
      <c r="C179" s="2" t="str">
        <f>"あきの歯科クリニック"</f>
        <v>あきの歯科クリニック</v>
      </c>
      <c r="D179" s="2" t="str">
        <f>"866-0883"</f>
        <v>866-0883</v>
      </c>
      <c r="E179" s="2" t="s">
        <v>187</v>
      </c>
      <c r="F179" s="2" t="str">
        <f>"0965805111    "</f>
        <v xml:space="preserve">0965805111    </v>
      </c>
      <c r="G179" s="2" t="str">
        <f>"秋野　眞悟"</f>
        <v>秋野　眞悟</v>
      </c>
      <c r="H179" s="2" t="str">
        <f>"H22.05.10"</f>
        <v>H22.05.10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</row>
    <row r="180" spans="2:15" x14ac:dyDescent="0.2">
      <c r="B180" s="2" t="str">
        <f t="shared" si="7"/>
        <v>八代</v>
      </c>
      <c r="C180" s="2" t="str">
        <f>"さくら歯科医院"</f>
        <v>さくら歯科医院</v>
      </c>
      <c r="D180" s="2" t="str">
        <f>"866-0813"</f>
        <v>866-0813</v>
      </c>
      <c r="E180" s="2" t="s">
        <v>188</v>
      </c>
      <c r="F180" s="2" t="str">
        <f>"0965459808    "</f>
        <v xml:space="preserve">0965459808    </v>
      </c>
      <c r="G180" s="2" t="str">
        <f>"医療法人社団　鏡会"</f>
        <v>医療法人社団　鏡会</v>
      </c>
      <c r="H180" s="2" t="str">
        <f>"H22.06.09"</f>
        <v>H22.06.09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</row>
    <row r="181" spans="2:15" x14ac:dyDescent="0.2">
      <c r="B181" s="2" t="str">
        <f t="shared" si="7"/>
        <v>八代</v>
      </c>
      <c r="C181" s="2" t="str">
        <f>"萩原歯科診療所"</f>
        <v>萩原歯科診療所</v>
      </c>
      <c r="D181" s="2" t="str">
        <f>"866-0831"</f>
        <v>866-0831</v>
      </c>
      <c r="E181" s="2" t="s">
        <v>189</v>
      </c>
      <c r="F181" s="2" t="str">
        <f>"0965324488    "</f>
        <v xml:space="preserve">0965324488    </v>
      </c>
      <c r="G181" s="2" t="str">
        <f>"松川　馨"</f>
        <v>松川　馨</v>
      </c>
      <c r="H181" s="2" t="str">
        <f>"H23.07.01"</f>
        <v>H23.07.01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</row>
    <row r="182" spans="2:15" x14ac:dyDescent="0.2">
      <c r="B182" s="2" t="str">
        <f t="shared" si="7"/>
        <v>八代</v>
      </c>
      <c r="C182" s="2" t="str">
        <f>"ふくだデンタルクリニック"</f>
        <v>ふくだデンタルクリニック</v>
      </c>
      <c r="D182" s="2" t="str">
        <f>"869-4202"</f>
        <v>869-4202</v>
      </c>
      <c r="E182" s="2" t="s">
        <v>190</v>
      </c>
      <c r="F182" s="2" t="str">
        <f>"0965628241    "</f>
        <v xml:space="preserve">0965628241    </v>
      </c>
      <c r="G182" s="2" t="str">
        <f>"福田　俊博"</f>
        <v>福田　俊博</v>
      </c>
      <c r="H182" s="2" t="str">
        <f>"H24.03.15"</f>
        <v>H24.03.15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</row>
    <row r="183" spans="2:15" x14ac:dyDescent="0.2">
      <c r="B183" s="2" t="str">
        <f t="shared" si="7"/>
        <v>八代</v>
      </c>
      <c r="C183" s="2" t="str">
        <f>"まつがえ歯科医院"</f>
        <v>まつがえ歯科医院</v>
      </c>
      <c r="D183" s="2" t="str">
        <f>"869-4602"</f>
        <v>869-4602</v>
      </c>
      <c r="E183" s="2" t="s">
        <v>191</v>
      </c>
      <c r="F183" s="2" t="str">
        <f>"0965622032    "</f>
        <v xml:space="preserve">0965622032    </v>
      </c>
      <c r="G183" s="2" t="str">
        <f>"松枝　勝興"</f>
        <v>松枝　勝興</v>
      </c>
      <c r="H183" s="2" t="str">
        <f>"H25.03.30"</f>
        <v>H25.03.30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</row>
    <row r="184" spans="2:15" x14ac:dyDescent="0.2">
      <c r="B184" s="2" t="str">
        <f t="shared" si="7"/>
        <v>八代</v>
      </c>
      <c r="C184" s="2" t="str">
        <f>"犬塚歯科医院"</f>
        <v>犬塚歯科医院</v>
      </c>
      <c r="D184" s="2" t="str">
        <f>"866-0895"</f>
        <v>866-0895</v>
      </c>
      <c r="E184" s="2" t="s">
        <v>192</v>
      </c>
      <c r="F184" s="2" t="str">
        <f>"0965325002    "</f>
        <v xml:space="preserve">0965325002    </v>
      </c>
      <c r="G184" s="2" t="str">
        <f>"熊埜御堂　誠"</f>
        <v>熊埜御堂　誠</v>
      </c>
      <c r="H184" s="2" t="str">
        <f>"H26.02.01"</f>
        <v>H26.02.01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</row>
    <row r="185" spans="2:15" x14ac:dyDescent="0.2">
      <c r="B185" s="2" t="str">
        <f t="shared" si="7"/>
        <v>八代</v>
      </c>
      <c r="C185" s="2" t="str">
        <f>"やまだ歯科医院"</f>
        <v>やまだ歯科医院</v>
      </c>
      <c r="D185" s="2" t="str">
        <f>"869-4202"</f>
        <v>869-4202</v>
      </c>
      <c r="E185" s="2" t="s">
        <v>193</v>
      </c>
      <c r="F185" s="2" t="str">
        <f>"0965520244    "</f>
        <v xml:space="preserve">0965520244    </v>
      </c>
      <c r="G185" s="2" t="str">
        <f>"医療法人聖会"</f>
        <v>医療法人聖会</v>
      </c>
      <c r="H185" s="2" t="str">
        <f>"H26.03.01"</f>
        <v>H26.03.01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</row>
    <row r="186" spans="2:15" x14ac:dyDescent="0.2">
      <c r="B186" s="2" t="str">
        <f t="shared" si="7"/>
        <v>八代</v>
      </c>
      <c r="C186" s="2" t="str">
        <f>"本町ごとう歯科"</f>
        <v>本町ごとう歯科</v>
      </c>
      <c r="D186" s="2" t="str">
        <f>"866-0861"</f>
        <v>866-0861</v>
      </c>
      <c r="E186" s="2" t="s">
        <v>194</v>
      </c>
      <c r="F186" s="2" t="str">
        <f>"0965628108    "</f>
        <v xml:space="preserve">0965628108    </v>
      </c>
      <c r="G186" s="2" t="str">
        <f>"後藤　千恵"</f>
        <v>後藤　千恵</v>
      </c>
      <c r="H186" s="2" t="str">
        <f>"H26.03.17"</f>
        <v>H26.03.17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</row>
    <row r="187" spans="2:15" x14ac:dyDescent="0.2">
      <c r="B187" s="2" t="str">
        <f t="shared" si="7"/>
        <v>八代</v>
      </c>
      <c r="C187" s="2" t="str">
        <f>"川上歯科医院"</f>
        <v>川上歯科医院</v>
      </c>
      <c r="D187" s="2" t="str">
        <f>"866-0831"</f>
        <v>866-0831</v>
      </c>
      <c r="E187" s="2" t="s">
        <v>195</v>
      </c>
      <c r="F187" s="2" t="str">
        <f>"0965322237    "</f>
        <v xml:space="preserve">0965322237    </v>
      </c>
      <c r="G187" s="2" t="str">
        <f>"川上　立祐"</f>
        <v>川上　立祐</v>
      </c>
      <c r="H187" s="2" t="str">
        <f>"H26.11.01"</f>
        <v>H26.11.01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</row>
    <row r="188" spans="2:15" x14ac:dyDescent="0.2">
      <c r="B188" s="2" t="str">
        <f t="shared" si="7"/>
        <v>八代</v>
      </c>
      <c r="C188" s="2" t="str">
        <f>"Ａｙａ　Ｄｅｎｔａｌ　Ｈｏｕｓｅ"</f>
        <v>Ａｙａ　Ｄｅｎｔａｌ　Ｈｏｕｓｅ</v>
      </c>
      <c r="D188" s="2" t="str">
        <f>"866-0815"</f>
        <v>866-0815</v>
      </c>
      <c r="E188" s="2" t="s">
        <v>196</v>
      </c>
      <c r="F188" s="2" t="str">
        <f>"0965658801    "</f>
        <v xml:space="preserve">0965658801    </v>
      </c>
      <c r="G188" s="2" t="str">
        <f>"西坂　文"</f>
        <v>西坂　文</v>
      </c>
      <c r="H188" s="2" t="str">
        <f>"H26.12.17"</f>
        <v>H26.12.17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</row>
    <row r="189" spans="2:15" x14ac:dyDescent="0.2">
      <c r="B189" s="2" t="str">
        <f t="shared" si="7"/>
        <v>八代</v>
      </c>
      <c r="C189" s="2" t="str">
        <f>"原田歯科医院"</f>
        <v>原田歯科医院</v>
      </c>
      <c r="D189" s="2" t="str">
        <f>"866-0885"</f>
        <v>866-0885</v>
      </c>
      <c r="E189" s="2" t="s">
        <v>197</v>
      </c>
      <c r="F189" s="2" t="str">
        <f>"0965344487    "</f>
        <v xml:space="preserve">0965344487    </v>
      </c>
      <c r="G189" s="2" t="str">
        <f>"林田　真紀子"</f>
        <v>林田　真紀子</v>
      </c>
      <c r="H189" s="2" t="str">
        <f>"H28.04.01"</f>
        <v>H28.04.01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</row>
    <row r="190" spans="2:15" x14ac:dyDescent="0.2">
      <c r="B190" s="2" t="str">
        <f t="shared" si="7"/>
        <v>八代</v>
      </c>
      <c r="C190" s="2" t="str">
        <f>"港町ひさがい歯科"</f>
        <v>港町ひさがい歯科</v>
      </c>
      <c r="D190" s="2" t="str">
        <f>"866-0033"</f>
        <v>866-0033</v>
      </c>
      <c r="E190" s="2" t="s">
        <v>198</v>
      </c>
      <c r="F190" s="2" t="str">
        <f>"0965372575    "</f>
        <v xml:space="preserve">0965372575    </v>
      </c>
      <c r="G190" s="2" t="str">
        <f>"久貝　喜太郎"</f>
        <v>久貝　喜太郎</v>
      </c>
      <c r="H190" s="2" t="str">
        <f>"H29.07.01"</f>
        <v>H29.07.01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</row>
    <row r="191" spans="2:15" x14ac:dyDescent="0.2">
      <c r="B191" s="2" t="str">
        <f t="shared" si="7"/>
        <v>八代</v>
      </c>
      <c r="C191" s="2" t="str">
        <f>"医療法人社団飛翔会　八代デンタルクリニック"</f>
        <v>医療法人社団飛翔会　八代デンタルクリニック</v>
      </c>
      <c r="D191" s="2" t="str">
        <f>"866-0013"</f>
        <v>866-0013</v>
      </c>
      <c r="E191" s="2" t="s">
        <v>199</v>
      </c>
      <c r="F191" s="2" t="str">
        <f>"0926434182    "</f>
        <v xml:space="preserve">0926434182    </v>
      </c>
      <c r="G191" s="2" t="str">
        <f>"医療法人社団飛翔会"</f>
        <v>医療法人社団飛翔会</v>
      </c>
      <c r="H191" s="2" t="str">
        <f>"H29.10.19"</f>
        <v>H29.10.19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</row>
    <row r="192" spans="2:15" x14ac:dyDescent="0.2">
      <c r="B192" s="2" t="str">
        <f t="shared" si="7"/>
        <v>八代</v>
      </c>
      <c r="C192" s="2" t="str">
        <f>"中村歯科医院"</f>
        <v>中村歯科医院</v>
      </c>
      <c r="D192" s="2" t="str">
        <f>"866-0863"</f>
        <v>866-0863</v>
      </c>
      <c r="E192" s="2" t="s">
        <v>200</v>
      </c>
      <c r="F192" s="2" t="str">
        <f>"0965325001    "</f>
        <v xml:space="preserve">0965325001    </v>
      </c>
      <c r="G192" s="2" t="str">
        <f>"中村　徹生"</f>
        <v>中村　徹生</v>
      </c>
      <c r="H192" s="2" t="str">
        <f>"H30.11.01"</f>
        <v>H30.11.01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</row>
    <row r="193" spans="2:15" x14ac:dyDescent="0.2">
      <c r="B193" s="2" t="str">
        <f t="shared" si="7"/>
        <v>八代</v>
      </c>
      <c r="C193" s="2" t="str">
        <f>"医療法人敬愛会　宇城八代歯科医院"</f>
        <v>医療法人敬愛会　宇城八代歯科医院</v>
      </c>
      <c r="D193" s="2" t="str">
        <f>"869-4602"</f>
        <v>869-4602</v>
      </c>
      <c r="E193" s="2" t="s">
        <v>201</v>
      </c>
      <c r="F193" s="2" t="str">
        <f>"0965623388    "</f>
        <v xml:space="preserve">0965623388    </v>
      </c>
      <c r="G193" s="2" t="str">
        <f>"医療法人敬愛会"</f>
        <v>医療法人敬愛会</v>
      </c>
      <c r="H193" s="2" t="str">
        <f>"H31.01.01"</f>
        <v>H31.01.01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</row>
    <row r="194" spans="2:15" x14ac:dyDescent="0.2">
      <c r="B194" s="2" t="str">
        <f t="shared" si="7"/>
        <v>八代</v>
      </c>
      <c r="C194" s="2" t="str">
        <f>"上田歯科医院"</f>
        <v>上田歯科医院</v>
      </c>
      <c r="D194" s="2" t="str">
        <f>"866-0861"</f>
        <v>866-0861</v>
      </c>
      <c r="E194" s="2" t="s">
        <v>202</v>
      </c>
      <c r="F194" s="2" t="str">
        <f>"0965323205    "</f>
        <v xml:space="preserve">0965323205    </v>
      </c>
      <c r="G194" s="2" t="str">
        <f>"医療法人　上田会"</f>
        <v>医療法人　上田会</v>
      </c>
      <c r="H194" s="2" t="str">
        <f>"R02.01.01"</f>
        <v>R02.01.01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</row>
    <row r="195" spans="2:15" x14ac:dyDescent="0.2">
      <c r="B195" s="2" t="str">
        <f t="shared" si="7"/>
        <v>八代</v>
      </c>
      <c r="C195" s="2" t="str">
        <f>"竹田歯科医院"</f>
        <v>竹田歯科医院</v>
      </c>
      <c r="D195" s="2" t="str">
        <f>"866-0862"</f>
        <v>866-0862</v>
      </c>
      <c r="E195" s="2" t="s">
        <v>203</v>
      </c>
      <c r="F195" s="2" t="str">
        <f>"0965310550    "</f>
        <v xml:space="preserve">0965310550    </v>
      </c>
      <c r="G195" s="2" t="str">
        <f>"竹田　博文"</f>
        <v>竹田　博文</v>
      </c>
      <c r="H195" s="2" t="str">
        <f>"R02.03.16"</f>
        <v>R02.03.16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</row>
    <row r="196" spans="2:15" x14ac:dyDescent="0.2">
      <c r="B196" s="2" t="str">
        <f t="shared" si="7"/>
        <v>八代</v>
      </c>
      <c r="C196" s="2" t="str">
        <f>"徳治会歯科医院八代"</f>
        <v>徳治会歯科医院八代</v>
      </c>
      <c r="D196" s="2" t="str">
        <f>"866-0062"</f>
        <v>866-0062</v>
      </c>
      <c r="E196" s="2" t="s">
        <v>204</v>
      </c>
      <c r="F196" s="2" t="str">
        <f>"0965351881    "</f>
        <v xml:space="preserve">0965351881    </v>
      </c>
      <c r="G196" s="2" t="str">
        <f>"医療法人社団　徳治会"</f>
        <v>医療法人社団　徳治会</v>
      </c>
      <c r="H196" s="2" t="str">
        <f>"R02.08.20"</f>
        <v>R02.08.20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</row>
    <row r="197" spans="2:15" x14ac:dyDescent="0.2">
      <c r="B197" s="2" t="str">
        <f t="shared" si="7"/>
        <v>八代</v>
      </c>
      <c r="C197" s="2" t="str">
        <f>"多田歯科クリニック"</f>
        <v>多田歯科クリニック</v>
      </c>
      <c r="D197" s="2" t="str">
        <f>"866-0842"</f>
        <v>866-0842</v>
      </c>
      <c r="E197" s="2" t="s">
        <v>205</v>
      </c>
      <c r="F197" s="2" t="str">
        <f>"0965335330    "</f>
        <v xml:space="preserve">0965335330    </v>
      </c>
      <c r="G197" s="2" t="str">
        <f>"多田　節子"</f>
        <v>多田　節子</v>
      </c>
      <c r="H197" s="2" t="str">
        <f>"R03.03.05"</f>
        <v>R03.03.05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</row>
    <row r="198" spans="2:15" x14ac:dyDescent="0.2">
      <c r="B198" s="2" t="str">
        <f t="shared" si="7"/>
        <v>八代</v>
      </c>
      <c r="C198" s="2" t="str">
        <f>"ヒルズ歯科クリニック"</f>
        <v>ヒルズ歯科クリニック</v>
      </c>
      <c r="D198" s="2" t="str">
        <f>"866-0811"</f>
        <v>866-0811</v>
      </c>
      <c r="E198" s="2" t="s">
        <v>206</v>
      </c>
      <c r="F198" s="2" t="str">
        <f>"0965459488    "</f>
        <v xml:space="preserve">0965459488    </v>
      </c>
      <c r="G198" s="2" t="str">
        <f>"医療法人大希会"</f>
        <v>医療法人大希会</v>
      </c>
      <c r="H198" s="2" t="str">
        <f>"R03.06.01"</f>
        <v>R03.06.01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</row>
    <row r="199" spans="2:15" x14ac:dyDescent="0.2">
      <c r="B199" s="2" t="str">
        <f t="shared" si="7"/>
        <v>八代</v>
      </c>
      <c r="C199" s="2" t="str">
        <f>"かえで歯科"</f>
        <v>かえで歯科</v>
      </c>
      <c r="D199" s="2" t="str">
        <f>"866-0898"</f>
        <v>866-0898</v>
      </c>
      <c r="E199" s="2" t="s">
        <v>207</v>
      </c>
      <c r="F199" s="2" t="str">
        <f>"0965378863    "</f>
        <v xml:space="preserve">0965378863    </v>
      </c>
      <c r="G199" s="2" t="str">
        <f>"医療法人KD"</f>
        <v>医療法人KD</v>
      </c>
      <c r="H199" s="2" t="str">
        <f>"R04.12.01"</f>
        <v>R04.12.01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</row>
    <row r="200" spans="2:15" x14ac:dyDescent="0.2">
      <c r="B200" s="2" t="str">
        <f t="shared" si="7"/>
        <v>八代</v>
      </c>
      <c r="C200" s="2" t="str">
        <f>"みやもと歯科医院"</f>
        <v>みやもと歯科医院</v>
      </c>
      <c r="D200" s="2" t="str">
        <f>"866-0844"</f>
        <v>866-0844</v>
      </c>
      <c r="E200" s="2" t="s">
        <v>208</v>
      </c>
      <c r="F200" s="2" t="str">
        <f>"0965323034    "</f>
        <v xml:space="preserve">0965323034    </v>
      </c>
      <c r="G200" s="2" t="str">
        <f>"医療法人　宮本会"</f>
        <v>医療法人　宮本会</v>
      </c>
      <c r="H200" s="2" t="str">
        <f>"R05.06.01"</f>
        <v>R05.06.01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</row>
    <row r="201" spans="2:15" x14ac:dyDescent="0.2">
      <c r="B201" s="2" t="str">
        <f t="shared" si="7"/>
        <v>八代</v>
      </c>
      <c r="C201" s="2" t="str">
        <f>"竜北歯科クリニック"</f>
        <v>竜北歯科クリニック</v>
      </c>
      <c r="D201" s="2" t="str">
        <f>"869-4811"</f>
        <v>869-4811</v>
      </c>
      <c r="E201" s="2" t="s">
        <v>209</v>
      </c>
      <c r="F201" s="2" t="str">
        <f>"0965377770    "</f>
        <v xml:space="preserve">0965377770    </v>
      </c>
      <c r="G201" s="2" t="str">
        <f>"内藤　久美子"</f>
        <v>内藤　久美子</v>
      </c>
      <c r="H201" s="2" t="str">
        <f>"R06.05.20"</f>
        <v>R06.05.20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</row>
    <row r="202" spans="2:15" x14ac:dyDescent="0.2">
      <c r="B202" s="2" t="str">
        <f t="shared" si="7"/>
        <v>八代</v>
      </c>
      <c r="C202" s="2" t="str">
        <f>"やまだ歯科・こども歯科・矯正歯科クリニック　八代院"</f>
        <v>やまだ歯科・こども歯科・矯正歯科クリニック　八代院</v>
      </c>
      <c r="D202" s="2" t="str">
        <f>"866-0896"</f>
        <v>866-0896</v>
      </c>
      <c r="E202" s="2" t="s">
        <v>210</v>
      </c>
      <c r="F202" s="2" t="str">
        <f>"0965376664    "</f>
        <v xml:space="preserve">0965376664    </v>
      </c>
      <c r="G202" s="2" t="str">
        <f>"医療法人アイディアルグロース"</f>
        <v>医療法人アイディアルグロース</v>
      </c>
      <c r="H202" s="2" t="str">
        <f>"R06.07.11"</f>
        <v>R06.07.11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</row>
    <row r="203" spans="2:15" x14ac:dyDescent="0.2">
      <c r="B203" s="2" t="str">
        <f t="shared" si="7"/>
        <v>八代</v>
      </c>
      <c r="C203" s="2" t="str">
        <f>"いまさき歯科クリニック"</f>
        <v>いまさき歯科クリニック</v>
      </c>
      <c r="D203" s="2" t="str">
        <f>"866-0898"</f>
        <v>866-0898</v>
      </c>
      <c r="E203" s="2" t="s">
        <v>211</v>
      </c>
      <c r="F203" s="2" t="str">
        <f>"0965336537    "</f>
        <v xml:space="preserve">0965336537    </v>
      </c>
      <c r="G203" s="2" t="str">
        <f>"今崎　佳昭"</f>
        <v>今崎　佳昭</v>
      </c>
      <c r="H203" s="2" t="str">
        <f>"R07.02.26"</f>
        <v>R07.02.26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</row>
    <row r="204" spans="2:15" x14ac:dyDescent="0.2">
      <c r="B204" s="2" t="str">
        <f t="shared" si="7"/>
        <v>八代</v>
      </c>
      <c r="C204" s="2" t="str">
        <f>"いちもり歯科クリニック"</f>
        <v>いちもり歯科クリニック</v>
      </c>
      <c r="D204" s="2" t="str">
        <f>"869-4812"</f>
        <v>869-4812</v>
      </c>
      <c r="E204" s="2" t="s">
        <v>212</v>
      </c>
      <c r="F204" s="2" t="str">
        <f>"0952528020    "</f>
        <v xml:space="preserve">0952528020    </v>
      </c>
      <c r="G204" s="2" t="str">
        <f>"医療法人　繁康会"</f>
        <v>医療法人　繁康会</v>
      </c>
      <c r="H204" s="2" t="str">
        <f>"R07.07.01"</f>
        <v>R07.07.01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</row>
    <row r="205" spans="2:15" x14ac:dyDescent="0.2">
      <c r="B205" s="2" t="str">
        <f t="shared" si="7"/>
        <v>八代</v>
      </c>
      <c r="C205" s="2" t="str">
        <f>"中川歯科医院"</f>
        <v>中川歯科医院</v>
      </c>
      <c r="D205" s="2" t="str">
        <f>"866-0875"</f>
        <v>866-0875</v>
      </c>
      <c r="E205" s="2" t="s">
        <v>213</v>
      </c>
      <c r="F205" s="2" t="str">
        <f>"0965358557    "</f>
        <v xml:space="preserve">0965358557    </v>
      </c>
      <c r="G205" s="2" t="str">
        <f>"中川　純泰"</f>
        <v>中川　純泰</v>
      </c>
      <c r="H205" s="2" t="str">
        <f>"R07.10.01"</f>
        <v>R07.10.01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</row>
    <row r="206" spans="2:15" x14ac:dyDescent="0.2">
      <c r="B206" s="2" t="str">
        <f t="shared" si="7"/>
        <v>八代</v>
      </c>
      <c r="C206" s="2" t="str">
        <f>"おとなこども歯科egao"</f>
        <v>おとなこども歯科egao</v>
      </c>
      <c r="D206" s="2" t="str">
        <f>"866-0863"</f>
        <v>866-0863</v>
      </c>
      <c r="E206" s="2" t="s">
        <v>214</v>
      </c>
      <c r="F206" s="2" t="str">
        <f>"0965343403    "</f>
        <v xml:space="preserve">0965343403    </v>
      </c>
      <c r="G206" s="2" t="str">
        <f>"本田　健一朗"</f>
        <v>本田　健一朗</v>
      </c>
      <c r="H206" s="2" t="str">
        <f>"R07.12.03"</f>
        <v>R07.12.03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</row>
    <row r="207" spans="2:15" x14ac:dyDescent="0.2">
      <c r="B207" s="2" t="str">
        <f t="shared" si="7"/>
        <v>八代</v>
      </c>
      <c r="C207" s="2" t="str">
        <f>"木屋歯科クリニック"</f>
        <v>木屋歯科クリニック</v>
      </c>
      <c r="D207" s="2" t="str">
        <f>"866-0897"</f>
        <v>866-0897</v>
      </c>
      <c r="E207" s="2" t="s">
        <v>215</v>
      </c>
      <c r="F207" s="2" t="str">
        <f>"0965325398    "</f>
        <v xml:space="preserve">0965325398    </v>
      </c>
      <c r="G207" s="2" t="str">
        <f>"医療法人　弘栄会"</f>
        <v>医療法人　弘栄会</v>
      </c>
      <c r="H207" s="2" t="str">
        <f>"R08.03.01"</f>
        <v>R08.03.01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</row>
    <row r="208" spans="2:15" x14ac:dyDescent="0.2">
      <c r="B208" s="2" t="str">
        <f t="shared" si="7"/>
        <v>八代</v>
      </c>
      <c r="C208" s="2" t="str">
        <f>"湯野歯科口腔外科クリニック"</f>
        <v>湯野歯科口腔外科クリニック</v>
      </c>
      <c r="D208" s="2" t="str">
        <f>"866-0895"</f>
        <v>866-0895</v>
      </c>
      <c r="E208" s="2" t="s">
        <v>216</v>
      </c>
      <c r="F208" s="2" t="str">
        <f>"0965656126    "</f>
        <v xml:space="preserve">0965656126    </v>
      </c>
      <c r="G208" s="2" t="str">
        <f>"湯野　晃"</f>
        <v>湯野　晃</v>
      </c>
      <c r="H208" s="2" t="str">
        <f>"R08.01.24"</f>
        <v>R08.01.24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</row>
    <row r="209" spans="2:15" x14ac:dyDescent="0.2">
      <c r="B209" s="2" t="str">
        <f t="shared" ref="B209:B224" si="8">"水俣"</f>
        <v>水俣</v>
      </c>
      <c r="C209" s="2" t="str">
        <f>"さしき宮島歯科医院"</f>
        <v>さしき宮島歯科医院</v>
      </c>
      <c r="D209" s="2" t="str">
        <f>"869-5442"</f>
        <v>869-5442</v>
      </c>
      <c r="E209" s="2" t="s">
        <v>217</v>
      </c>
      <c r="F209" s="2" t="str">
        <f>"0966822418    "</f>
        <v xml:space="preserve">0966822418    </v>
      </c>
      <c r="G209" s="2" t="str">
        <f>"若江　映晃"</f>
        <v>若江　映晃</v>
      </c>
      <c r="H209" s="2" t="str">
        <f>"H29.03.01"</f>
        <v>H29.03.01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</row>
    <row r="210" spans="2:15" x14ac:dyDescent="0.2">
      <c r="B210" s="2" t="str">
        <f t="shared" si="8"/>
        <v>水俣</v>
      </c>
      <c r="C210" s="2" t="str">
        <f>"鶴野歯科医院"</f>
        <v>鶴野歯科医院</v>
      </c>
      <c r="D210" s="2" t="str">
        <f>"869-5603"</f>
        <v>869-5603</v>
      </c>
      <c r="E210" s="2" t="s">
        <v>218</v>
      </c>
      <c r="F210" s="2" t="str">
        <f>"0966782530    "</f>
        <v xml:space="preserve">0966782530    </v>
      </c>
      <c r="G210" s="2" t="str">
        <f>"鶴野　剛士"</f>
        <v>鶴野　剛士</v>
      </c>
      <c r="H210" s="2" t="str">
        <f>"R07.05.07"</f>
        <v>R07.05.07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</row>
    <row r="211" spans="2:15" x14ac:dyDescent="0.2">
      <c r="B211" s="2" t="str">
        <f t="shared" si="8"/>
        <v>水俣</v>
      </c>
      <c r="C211" s="2" t="str">
        <f>"出来田歯科診療所"</f>
        <v>出来田歯科診療所</v>
      </c>
      <c r="D211" s="2" t="str">
        <f>"867-0065"</f>
        <v>867-0065</v>
      </c>
      <c r="E211" s="2" t="s">
        <v>219</v>
      </c>
      <c r="F211" s="2" t="str">
        <f>"0966620030    "</f>
        <v xml:space="preserve">0966620030    </v>
      </c>
      <c r="G211" s="2" t="str">
        <f>"出来田雅人"</f>
        <v>出来田雅人</v>
      </c>
      <c r="H211" s="2" t="str">
        <f>"R08.02.17"</f>
        <v>R08.02.17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</row>
    <row r="212" spans="2:15" x14ac:dyDescent="0.2">
      <c r="B212" s="2" t="str">
        <f t="shared" si="8"/>
        <v>水俣</v>
      </c>
      <c r="C212" s="2" t="str">
        <f>"天神歯科医院"</f>
        <v>天神歯科医院</v>
      </c>
      <c r="D212" s="2" t="str">
        <f>"867-0041"</f>
        <v>867-0041</v>
      </c>
      <c r="E212" s="2" t="s">
        <v>220</v>
      </c>
      <c r="F212" s="2" t="str">
        <f>"0966632190    "</f>
        <v xml:space="preserve">0966632190    </v>
      </c>
      <c r="G212" s="2" t="str">
        <f>"伊藤道之"</f>
        <v>伊藤道之</v>
      </c>
      <c r="H212" s="2" t="str">
        <f>"H07.06.01"</f>
        <v>H07.06.01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</row>
    <row r="213" spans="2:15" x14ac:dyDescent="0.2">
      <c r="B213" s="2" t="str">
        <f t="shared" si="8"/>
        <v>水俣</v>
      </c>
      <c r="C213" s="2" t="str">
        <f>"百間歯科医院"</f>
        <v>百間歯科医院</v>
      </c>
      <c r="D213" s="2" t="str">
        <f>"867-0052"</f>
        <v>867-0052</v>
      </c>
      <c r="E213" s="2" t="s">
        <v>221</v>
      </c>
      <c r="F213" s="2" t="str">
        <f>"0966623155    "</f>
        <v xml:space="preserve">0966623155    </v>
      </c>
      <c r="G213" s="2" t="str">
        <f>"医療法人大輝会"</f>
        <v>医療法人大輝会</v>
      </c>
      <c r="H213" s="2" t="str">
        <f>"H08.09.01"</f>
        <v>H08.09.01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</row>
    <row r="214" spans="2:15" x14ac:dyDescent="0.2">
      <c r="B214" s="2" t="str">
        <f t="shared" si="8"/>
        <v>水俣</v>
      </c>
      <c r="C214" s="2" t="str">
        <f>"浮池歯科医院"</f>
        <v>浮池歯科医院</v>
      </c>
      <c r="D214" s="2" t="str">
        <f>"867-0064"</f>
        <v>867-0064</v>
      </c>
      <c r="E214" s="2" t="s">
        <v>222</v>
      </c>
      <c r="F214" s="2" t="str">
        <f>"0966638813    "</f>
        <v xml:space="preserve">0966638813    </v>
      </c>
      <c r="G214" s="2" t="str">
        <f>"浮池高史"</f>
        <v>浮池高史</v>
      </c>
      <c r="H214" s="2" t="str">
        <f>"S58.04.01"</f>
        <v>S58.04.01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</row>
    <row r="215" spans="2:15" x14ac:dyDescent="0.2">
      <c r="B215" s="2" t="str">
        <f t="shared" si="8"/>
        <v>水俣</v>
      </c>
      <c r="C215" s="2" t="str">
        <f>"みのだ歯科医院"</f>
        <v>みのだ歯科医院</v>
      </c>
      <c r="D215" s="2" t="str">
        <f>"867-0045"</f>
        <v>867-0045</v>
      </c>
      <c r="E215" s="2" t="s">
        <v>223</v>
      </c>
      <c r="F215" s="2" t="str">
        <f>"0966637135    "</f>
        <v xml:space="preserve">0966637135    </v>
      </c>
      <c r="G215" s="2" t="str">
        <f>"蓑田亮"</f>
        <v>蓑田亮</v>
      </c>
      <c r="H215" s="2" t="str">
        <f>"S62.01.26"</f>
        <v>S62.01.26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</row>
    <row r="216" spans="2:15" x14ac:dyDescent="0.2">
      <c r="B216" s="2" t="str">
        <f t="shared" si="8"/>
        <v>水俣</v>
      </c>
      <c r="C216" s="2" t="str">
        <f>"野村歯科医院"</f>
        <v>野村歯科医院</v>
      </c>
      <c r="D216" s="2" t="str">
        <f>"869-5303"</f>
        <v>869-5303</v>
      </c>
      <c r="E216" s="2" t="s">
        <v>224</v>
      </c>
      <c r="F216" s="2" t="str">
        <f>"0966870040    "</f>
        <v xml:space="preserve">0966870040    </v>
      </c>
      <c r="G216" s="2" t="str">
        <f>"野村健一郎"</f>
        <v>野村健一郎</v>
      </c>
      <c r="H216" s="2" t="str">
        <f>"H03.12.21"</f>
        <v>H03.12.21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</row>
    <row r="217" spans="2:15" x14ac:dyDescent="0.2">
      <c r="B217" s="2" t="str">
        <f t="shared" si="8"/>
        <v>水俣</v>
      </c>
      <c r="C217" s="2" t="str">
        <f>"あいりす歯科医院"</f>
        <v>あいりす歯科医院</v>
      </c>
      <c r="D217" s="2" t="str">
        <f>"869-5451"</f>
        <v>869-5451</v>
      </c>
      <c r="E217" s="2" t="s">
        <v>225</v>
      </c>
      <c r="F217" s="2" t="str">
        <f>"0966694182    "</f>
        <v xml:space="preserve">0966694182    </v>
      </c>
      <c r="G217" s="2" t="str">
        <f>"鬼塚友文"</f>
        <v>鬼塚友文</v>
      </c>
      <c r="H217" s="2" t="str">
        <f>"H15.04.18"</f>
        <v>H15.04.18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</row>
    <row r="218" spans="2:15" x14ac:dyDescent="0.2">
      <c r="B218" s="2" t="str">
        <f t="shared" si="8"/>
        <v>水俣</v>
      </c>
      <c r="C218" s="2" t="str">
        <f>"井上歯科医院"</f>
        <v>井上歯科医院</v>
      </c>
      <c r="D218" s="2" t="str">
        <f>"869-5442"</f>
        <v>869-5442</v>
      </c>
      <c r="E218" s="2" t="s">
        <v>226</v>
      </c>
      <c r="F218" s="2" t="str">
        <f>"0966823566    "</f>
        <v xml:space="preserve">0966823566    </v>
      </c>
      <c r="G218" s="2" t="str">
        <f>"井上　真樹"</f>
        <v>井上　真樹</v>
      </c>
      <c r="H218" s="2" t="str">
        <f>"H16.01.05"</f>
        <v>H16.01.05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</row>
    <row r="219" spans="2:15" x14ac:dyDescent="0.2">
      <c r="B219" s="2" t="str">
        <f t="shared" si="8"/>
        <v>水俣</v>
      </c>
      <c r="C219" s="2" t="str">
        <f>"ながた歯科医院"</f>
        <v>ながた歯科医院</v>
      </c>
      <c r="D219" s="2" t="str">
        <f>"867-0065"</f>
        <v>867-0065</v>
      </c>
      <c r="E219" s="2" t="s">
        <v>227</v>
      </c>
      <c r="F219" s="2" t="str">
        <f>"0966632671    "</f>
        <v xml:space="preserve">0966632671    </v>
      </c>
      <c r="G219" s="2" t="str">
        <f>"医療法人ながた歯科医院"</f>
        <v>医療法人ながた歯科医院</v>
      </c>
      <c r="H219" s="2" t="str">
        <f>"H18.10.01"</f>
        <v>H18.10.01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</row>
    <row r="220" spans="2:15" x14ac:dyDescent="0.2">
      <c r="B220" s="2" t="str">
        <f t="shared" si="8"/>
        <v>水俣</v>
      </c>
      <c r="C220" s="2" t="str">
        <f>"ひかり歯科クリニック"</f>
        <v>ひかり歯科クリニック</v>
      </c>
      <c r="D220" s="2" t="str">
        <f>"867-0043"</f>
        <v>867-0043</v>
      </c>
      <c r="E220" s="2" t="s">
        <v>228</v>
      </c>
      <c r="F220" s="2" t="str">
        <f>"0966624144    "</f>
        <v xml:space="preserve">0966624144    </v>
      </c>
      <c r="G220" s="2" t="str">
        <f>"医療法人　アサップ"</f>
        <v>医療法人　アサップ</v>
      </c>
      <c r="H220" s="2" t="str">
        <f>"H18.10.02"</f>
        <v>H18.10.02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</row>
    <row r="221" spans="2:15" x14ac:dyDescent="0.2">
      <c r="B221" s="2" t="str">
        <f t="shared" si="8"/>
        <v>水俣</v>
      </c>
      <c r="C221" s="2" t="str">
        <f>"深水歯科医院"</f>
        <v>深水歯科医院</v>
      </c>
      <c r="D221" s="2" t="str">
        <f>"867-0065"</f>
        <v>867-0065</v>
      </c>
      <c r="E221" s="2" t="s">
        <v>229</v>
      </c>
      <c r="F221" s="2" t="str">
        <f>"0966633100    "</f>
        <v xml:space="preserve">0966633100    </v>
      </c>
      <c r="G221" s="2" t="str">
        <f>"医療法人深水歯科医院"</f>
        <v>医療法人深水歯科医院</v>
      </c>
      <c r="H221" s="2" t="str">
        <f>"R01.05.01"</f>
        <v>R01.05.01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</row>
    <row r="222" spans="2:15" x14ac:dyDescent="0.2">
      <c r="B222" s="2" t="str">
        <f t="shared" si="8"/>
        <v>水俣</v>
      </c>
      <c r="C222" s="2" t="str">
        <f>"伊藤歯科医院"</f>
        <v>伊藤歯科医院</v>
      </c>
      <c r="D222" s="2" t="str">
        <f>"867-0043"</f>
        <v>867-0043</v>
      </c>
      <c r="E222" s="2" t="s">
        <v>230</v>
      </c>
      <c r="F222" s="2" t="str">
        <f>"0966622804    "</f>
        <v xml:space="preserve">0966622804    </v>
      </c>
      <c r="G222" s="2" t="str">
        <f>"医療法人伊福会"</f>
        <v>医療法人伊福会</v>
      </c>
      <c r="H222" s="2" t="str">
        <f>"R01.06.01"</f>
        <v>R01.06.01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</row>
    <row r="223" spans="2:15" x14ac:dyDescent="0.2">
      <c r="B223" s="2" t="str">
        <f t="shared" si="8"/>
        <v>水俣</v>
      </c>
      <c r="C223" s="2" t="str">
        <f>"藤崎歯科医院"</f>
        <v>藤崎歯科医院</v>
      </c>
      <c r="D223" s="2" t="str">
        <f>"869-5302"</f>
        <v>869-5302</v>
      </c>
      <c r="E223" s="2" t="s">
        <v>231</v>
      </c>
      <c r="F223" s="2" t="str">
        <f>"0966871515    "</f>
        <v xml:space="preserve">0966871515    </v>
      </c>
      <c r="G223" s="2" t="str">
        <f>"藤崎　航太"</f>
        <v>藤崎　航太</v>
      </c>
      <c r="H223" s="2" t="str">
        <f>"R01.08.01"</f>
        <v>R01.08.01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</row>
    <row r="224" spans="2:15" x14ac:dyDescent="0.2">
      <c r="B224" s="2" t="str">
        <f t="shared" si="8"/>
        <v>水俣</v>
      </c>
      <c r="C224" s="2" t="str">
        <f>"あしきた歯科医院"</f>
        <v>あしきた歯科医院</v>
      </c>
      <c r="D224" s="2" t="str">
        <f>"869-5461"</f>
        <v>869-5461</v>
      </c>
      <c r="E224" s="2" t="s">
        <v>232</v>
      </c>
      <c r="F224" s="2" t="str">
        <f>"0966613001    "</f>
        <v xml:space="preserve">0966613001    </v>
      </c>
      <c r="G224" s="2" t="str">
        <f>"若井篤"</f>
        <v>若井篤</v>
      </c>
      <c r="H224" s="2" t="str">
        <f>"R05.01.19"</f>
        <v>R05.01.19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</row>
    <row r="225" spans="2:15" x14ac:dyDescent="0.2">
      <c r="B225" s="2" t="str">
        <f t="shared" ref="B225:B260" si="9">"人吉"</f>
        <v>人吉</v>
      </c>
      <c r="C225" s="2" t="str">
        <f>"いりえ歯科医院"</f>
        <v>いりえ歯科医院</v>
      </c>
      <c r="D225" s="2" t="str">
        <f>"868-0072"</f>
        <v>868-0072</v>
      </c>
      <c r="E225" s="2" t="s">
        <v>233</v>
      </c>
      <c r="F225" s="2" t="str">
        <f>"0966222798    "</f>
        <v xml:space="preserve">0966222798    </v>
      </c>
      <c r="G225" s="2" t="str">
        <f>"入江　昭仁"</f>
        <v>入江　昭仁</v>
      </c>
      <c r="H225" s="2" t="str">
        <f>"H29.12.01"</f>
        <v>H29.12.01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</row>
    <row r="226" spans="2:15" x14ac:dyDescent="0.2">
      <c r="B226" s="2" t="str">
        <f t="shared" si="9"/>
        <v>人吉</v>
      </c>
      <c r="C226" s="2" t="str">
        <f>"斉藤歯科クリニック"</f>
        <v>斉藤歯科クリニック</v>
      </c>
      <c r="D226" s="2" t="str">
        <f>"868-0015"</f>
        <v>868-0015</v>
      </c>
      <c r="E226" s="2" t="s">
        <v>234</v>
      </c>
      <c r="F226" s="2" t="str">
        <f>"0966333110    "</f>
        <v xml:space="preserve">0966333110    </v>
      </c>
      <c r="G226" s="2" t="str">
        <f>"医療法人　健口会"</f>
        <v>医療法人　健口会</v>
      </c>
      <c r="H226" s="2" t="str">
        <f>"H30.02.01"</f>
        <v>H30.02.01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</row>
    <row r="227" spans="2:15" x14ac:dyDescent="0.2">
      <c r="B227" s="2" t="str">
        <f t="shared" si="9"/>
        <v>人吉</v>
      </c>
      <c r="C227" s="2" t="str">
        <f>"松本歯科医院"</f>
        <v>松本歯科医院</v>
      </c>
      <c r="D227" s="2" t="str">
        <f>"868-0035"</f>
        <v>868-0035</v>
      </c>
      <c r="E227" s="2" t="s">
        <v>235</v>
      </c>
      <c r="F227" s="2" t="str">
        <f>"0966242509    "</f>
        <v xml:space="preserve">0966242509    </v>
      </c>
      <c r="G227" s="2" t="str">
        <f>"松本　晉一"</f>
        <v>松本　晉一</v>
      </c>
      <c r="H227" s="2" t="str">
        <f>"R03.09.24"</f>
        <v>R03.09.24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</row>
    <row r="228" spans="2:15" x14ac:dyDescent="0.2">
      <c r="B228" s="2" t="str">
        <f t="shared" si="9"/>
        <v>人吉</v>
      </c>
      <c r="C228" s="2" t="str">
        <f>"中原歯科医院"</f>
        <v>中原歯科医院</v>
      </c>
      <c r="D228" s="2" t="str">
        <f>"        "</f>
        <v xml:space="preserve">        </v>
      </c>
      <c r="E228" s="2" t="s">
        <v>236</v>
      </c>
      <c r="F228" s="2" t="str">
        <f>"09054866018   "</f>
        <v xml:space="preserve">09054866018   </v>
      </c>
      <c r="G228" s="2" t="str">
        <f>"中原　弘樹"</f>
        <v>中原　弘樹</v>
      </c>
      <c r="H228" s="2" t="str">
        <f>"R06.05.01"</f>
        <v>R06.05.01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</row>
    <row r="229" spans="2:15" x14ac:dyDescent="0.2">
      <c r="B229" s="2" t="str">
        <f t="shared" si="9"/>
        <v>人吉</v>
      </c>
      <c r="C229" s="2" t="str">
        <f>"愛甲歯科クリニック"</f>
        <v>愛甲歯科クリニック</v>
      </c>
      <c r="D229" s="2" t="str">
        <f>"868-0034"</f>
        <v>868-0034</v>
      </c>
      <c r="E229" s="2" t="s">
        <v>237</v>
      </c>
      <c r="F229" s="2" t="str">
        <f>"0966240061    "</f>
        <v xml:space="preserve">0966240061    </v>
      </c>
      <c r="G229" s="2" t="str">
        <f>"愛甲　　　徹"</f>
        <v>愛甲　　　徹</v>
      </c>
      <c r="H229" s="2" t="str">
        <f>"H02.10.16"</f>
        <v>H02.10.16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</row>
    <row r="230" spans="2:15" x14ac:dyDescent="0.2">
      <c r="B230" s="2" t="str">
        <f t="shared" si="9"/>
        <v>人吉</v>
      </c>
      <c r="C230" s="2" t="str">
        <f>"今藤歯科医院"</f>
        <v>今藤歯科医院</v>
      </c>
      <c r="D230" s="2" t="str">
        <f>"868-0023"</f>
        <v>868-0023</v>
      </c>
      <c r="E230" s="2" t="s">
        <v>238</v>
      </c>
      <c r="F230" s="2" t="str">
        <f>"0966232330    "</f>
        <v xml:space="preserve">0966232330    </v>
      </c>
      <c r="G230" s="2" t="str">
        <f>"医療法人社団今藤会"</f>
        <v>医療法人社団今藤会</v>
      </c>
      <c r="H230" s="2" t="str">
        <f>"H01.08.01"</f>
        <v>H01.08.01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</row>
    <row r="231" spans="2:15" x14ac:dyDescent="0.2">
      <c r="B231" s="2" t="str">
        <f t="shared" si="9"/>
        <v>人吉</v>
      </c>
      <c r="C231" s="2" t="str">
        <f>"瓦屋町歯科"</f>
        <v>瓦屋町歯科</v>
      </c>
      <c r="D231" s="2" t="str">
        <f>"868-0025"</f>
        <v>868-0025</v>
      </c>
      <c r="E231" s="2" t="s">
        <v>239</v>
      </c>
      <c r="F231" s="2" t="str">
        <f>"0966251800    "</f>
        <v xml:space="preserve">0966251800    </v>
      </c>
      <c r="G231" s="2" t="str">
        <f>"医療法人是真会"</f>
        <v>医療法人是真会</v>
      </c>
      <c r="H231" s="2" t="str">
        <f>"H14.03.04"</f>
        <v>H14.03.04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</row>
    <row r="232" spans="2:15" x14ac:dyDescent="0.2">
      <c r="B232" s="2" t="str">
        <f t="shared" si="9"/>
        <v>人吉</v>
      </c>
      <c r="C232" s="2" t="str">
        <f>"熊埜御堂歯科医院"</f>
        <v>熊埜御堂歯科医院</v>
      </c>
      <c r="D232" s="2" t="str">
        <f>"868-0005"</f>
        <v>868-0005</v>
      </c>
      <c r="E232" s="2" t="s">
        <v>240</v>
      </c>
      <c r="F232" s="2" t="str">
        <f>"0966223958    "</f>
        <v xml:space="preserve">0966223958    </v>
      </c>
      <c r="G232" s="2" t="str">
        <f>"熊埜御堂歯科医院"</f>
        <v>熊埜御堂歯科医院</v>
      </c>
      <c r="H232" s="2" t="str">
        <f>"H03.03.01"</f>
        <v>H03.03.01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</row>
    <row r="233" spans="2:15" x14ac:dyDescent="0.2">
      <c r="B233" s="2" t="str">
        <f t="shared" si="9"/>
        <v>人吉</v>
      </c>
      <c r="C233" s="2" t="str">
        <f>"相良歯科医院"</f>
        <v>相良歯科医院</v>
      </c>
      <c r="D233" s="2" t="str">
        <f>"868-0086"</f>
        <v>868-0086</v>
      </c>
      <c r="E233" s="2" t="s">
        <v>241</v>
      </c>
      <c r="F233" s="2" t="str">
        <f>"0966227722    "</f>
        <v xml:space="preserve">0966227722    </v>
      </c>
      <c r="G233" s="2" t="str">
        <f>"相良吉正"</f>
        <v>相良吉正</v>
      </c>
      <c r="H233" s="2" t="str">
        <f>"H06.09.16"</f>
        <v>H06.09.16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</row>
    <row r="234" spans="2:15" x14ac:dyDescent="0.2">
      <c r="B234" s="2" t="str">
        <f t="shared" si="9"/>
        <v>人吉</v>
      </c>
      <c r="C234" s="2" t="str">
        <f>"清水歯科クリニック"</f>
        <v>清水歯科クリニック</v>
      </c>
      <c r="D234" s="2" t="str">
        <f>"868-0022"</f>
        <v>868-0022</v>
      </c>
      <c r="E234" s="2" t="s">
        <v>242</v>
      </c>
      <c r="F234" s="2" t="str">
        <f>"0966248182    "</f>
        <v xml:space="preserve">0966248182    </v>
      </c>
      <c r="G234" s="2" t="str">
        <f>"清水雅英"</f>
        <v>清水雅英</v>
      </c>
      <c r="H234" s="2" t="str">
        <f>"H02.06.11"</f>
        <v>H02.06.11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</row>
    <row r="235" spans="2:15" x14ac:dyDescent="0.2">
      <c r="B235" s="2" t="str">
        <f t="shared" si="9"/>
        <v>人吉</v>
      </c>
      <c r="C235" s="2" t="str">
        <f>"瀬戸歯科医院"</f>
        <v>瀬戸歯科医院</v>
      </c>
      <c r="D235" s="2" t="str">
        <f>"868-0005"</f>
        <v>868-0005</v>
      </c>
      <c r="E235" s="2" t="s">
        <v>243</v>
      </c>
      <c r="F235" s="2" t="str">
        <f>"0966224078    "</f>
        <v xml:space="preserve">0966224078    </v>
      </c>
      <c r="G235" s="2" t="str">
        <f>"瀬戸　弘"</f>
        <v>瀬戸　弘</v>
      </c>
      <c r="H235" s="2" t="str">
        <f>"H12.01.01"</f>
        <v>H12.01.01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</row>
    <row r="236" spans="2:15" x14ac:dyDescent="0.2">
      <c r="B236" s="2" t="str">
        <f t="shared" si="9"/>
        <v>人吉</v>
      </c>
      <c r="C236" s="2" t="str">
        <f>"花田歯科医院"</f>
        <v>花田歯科医院</v>
      </c>
      <c r="D236" s="2" t="str">
        <f>"868-0006"</f>
        <v>868-0006</v>
      </c>
      <c r="E236" s="2" t="s">
        <v>244</v>
      </c>
      <c r="F236" s="2" t="str">
        <f>"0966222470    "</f>
        <v xml:space="preserve">0966222470    </v>
      </c>
      <c r="G236" s="2" t="str">
        <f>"花田雅弘"</f>
        <v>花田雅弘</v>
      </c>
      <c r="H236" s="2" t="str">
        <f>"H07.04.01"</f>
        <v>H07.04.01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</row>
    <row r="237" spans="2:15" x14ac:dyDescent="0.2">
      <c r="B237" s="2" t="str">
        <f t="shared" si="9"/>
        <v>人吉</v>
      </c>
      <c r="C237" s="2" t="str">
        <f>"御手洗歯科医院"</f>
        <v>御手洗歯科医院</v>
      </c>
      <c r="D237" s="2" t="str">
        <f>"868-0055"</f>
        <v>868-0055</v>
      </c>
      <c r="E237" s="2" t="s">
        <v>245</v>
      </c>
      <c r="F237" s="2" t="str">
        <f>"0966222210    "</f>
        <v xml:space="preserve">0966222210    </v>
      </c>
      <c r="G237" s="2" t="str">
        <f>"御手洗　　　肇"</f>
        <v>御手洗　　　肇</v>
      </c>
      <c r="H237" s="2" t="str">
        <f>"H01.01.18"</f>
        <v>H01.01.18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</row>
    <row r="238" spans="2:15" x14ac:dyDescent="0.2">
      <c r="B238" s="2" t="str">
        <f t="shared" si="9"/>
        <v>人吉</v>
      </c>
      <c r="C238" s="2" t="str">
        <f>"湯本歯科医院"</f>
        <v>湯本歯科医院</v>
      </c>
      <c r="D238" s="2" t="str">
        <f>"868-0011"</f>
        <v>868-0011</v>
      </c>
      <c r="E238" s="2" t="s">
        <v>246</v>
      </c>
      <c r="F238" s="2" t="str">
        <f>"0966248899    "</f>
        <v xml:space="preserve">0966248899    </v>
      </c>
      <c r="G238" s="2" t="str">
        <f>"湯本光一郎"</f>
        <v>湯本光一郎</v>
      </c>
      <c r="H238" s="2" t="str">
        <f>"H04.03.27"</f>
        <v>H04.03.27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</row>
    <row r="239" spans="2:15" x14ac:dyDescent="0.2">
      <c r="B239" s="2" t="str">
        <f t="shared" si="9"/>
        <v>人吉</v>
      </c>
      <c r="C239" s="2" t="str">
        <f>"与田歯科医院"</f>
        <v>与田歯科医院</v>
      </c>
      <c r="D239" s="2" t="str">
        <f>"868-0022"</f>
        <v>868-0022</v>
      </c>
      <c r="E239" s="2" t="s">
        <v>247</v>
      </c>
      <c r="F239" s="2" t="str">
        <f>"0966246482    "</f>
        <v xml:space="preserve">0966246482    </v>
      </c>
      <c r="G239" s="2" t="str">
        <f>"與田桂三"</f>
        <v>與田桂三</v>
      </c>
      <c r="H239" s="2" t="str">
        <f>"H07.11.16"</f>
        <v>H07.11.16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</row>
    <row r="240" spans="2:15" x14ac:dyDescent="0.2">
      <c r="B240" s="2" t="str">
        <f t="shared" si="9"/>
        <v>人吉</v>
      </c>
      <c r="C240" s="2" t="str">
        <f>"高野歯科医院"</f>
        <v>高野歯科医院</v>
      </c>
      <c r="D240" s="2" t="str">
        <f>"868-0302"</f>
        <v>868-0302</v>
      </c>
      <c r="E240" s="2" t="s">
        <v>248</v>
      </c>
      <c r="F240" s="2" t="str">
        <f>"0966382540    "</f>
        <v xml:space="preserve">0966382540    </v>
      </c>
      <c r="G240" s="2" t="str">
        <f>"高野秀司"</f>
        <v>高野秀司</v>
      </c>
      <c r="H240" s="2" t="str">
        <f>"S54.11.29"</f>
        <v>S54.11.29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</row>
    <row r="241" spans="2:15" x14ac:dyDescent="0.2">
      <c r="B241" s="2" t="str">
        <f t="shared" si="9"/>
        <v>人吉</v>
      </c>
      <c r="C241" s="2" t="str">
        <f>"にしき歯科医院"</f>
        <v>にしき歯科医院</v>
      </c>
      <c r="D241" s="2" t="str">
        <f>"868-0303"</f>
        <v>868-0303</v>
      </c>
      <c r="E241" s="2" t="s">
        <v>249</v>
      </c>
      <c r="F241" s="2" t="str">
        <f>"0966383886    "</f>
        <v xml:space="preserve">0966383886    </v>
      </c>
      <c r="G241" s="2" t="str">
        <f>"医療法人萠友会"</f>
        <v>医療法人萠友会</v>
      </c>
      <c r="H241" s="2" t="str">
        <f>"H06.02.01"</f>
        <v>H06.02.01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</row>
    <row r="242" spans="2:15" x14ac:dyDescent="0.2">
      <c r="B242" s="2" t="str">
        <f t="shared" si="9"/>
        <v>人吉</v>
      </c>
      <c r="C242" s="2" t="str">
        <f>"秋山歯科クリニック"</f>
        <v>秋山歯科クリニック</v>
      </c>
      <c r="D242" s="2" t="str">
        <f>"868-0402"</f>
        <v>868-0402</v>
      </c>
      <c r="E242" s="2" t="s">
        <v>250</v>
      </c>
      <c r="F242" s="2" t="str">
        <f>"0966454550    "</f>
        <v xml:space="preserve">0966454550    </v>
      </c>
      <c r="G242" s="2" t="str">
        <f>"秋山　　　喬"</f>
        <v>秋山　　　喬</v>
      </c>
      <c r="H242" s="2" t="str">
        <f>"H01.02.14"</f>
        <v>H01.02.14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</row>
    <row r="243" spans="2:15" x14ac:dyDescent="0.2">
      <c r="B243" s="2" t="str">
        <f t="shared" si="9"/>
        <v>人吉</v>
      </c>
      <c r="C243" s="2" t="str">
        <f>"坂梨歯科医院"</f>
        <v>坂梨歯科医院</v>
      </c>
      <c r="D243" s="2" t="str">
        <f>"868-0408"</f>
        <v>868-0408</v>
      </c>
      <c r="E243" s="2" t="s">
        <v>251</v>
      </c>
      <c r="F243" s="2" t="str">
        <f>"0966452111    "</f>
        <v xml:space="preserve">0966452111    </v>
      </c>
      <c r="G243" s="2" t="str">
        <f>"医療法人同仁会"</f>
        <v>医療法人同仁会</v>
      </c>
      <c r="H243" s="2" t="str">
        <f>"H02.04.01"</f>
        <v>H02.04.01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</row>
    <row r="244" spans="2:15" x14ac:dyDescent="0.2">
      <c r="B244" s="2" t="str">
        <f t="shared" si="9"/>
        <v>人吉</v>
      </c>
      <c r="C244" s="2" t="str">
        <f>"なかくま歯科医院"</f>
        <v>なかくま歯科医院</v>
      </c>
      <c r="D244" s="2" t="str">
        <f>"868-0415"</f>
        <v>868-0415</v>
      </c>
      <c r="E244" s="2" t="s">
        <v>252</v>
      </c>
      <c r="F244" s="2" t="str">
        <f>"0966455701    "</f>
        <v xml:space="preserve">0966455701    </v>
      </c>
      <c r="G244" s="2" t="str">
        <f>"医療法人社団大雅会"</f>
        <v>医療法人社団大雅会</v>
      </c>
      <c r="H244" s="2" t="str">
        <f>"H15.03.01"</f>
        <v>H15.03.01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</row>
    <row r="245" spans="2:15" x14ac:dyDescent="0.2">
      <c r="B245" s="2" t="str">
        <f t="shared" si="9"/>
        <v>人吉</v>
      </c>
      <c r="C245" s="2" t="str">
        <f>"山村歯科医院"</f>
        <v>山村歯科医院</v>
      </c>
      <c r="D245" s="2" t="str">
        <f>"868-0408"</f>
        <v>868-0408</v>
      </c>
      <c r="E245" s="2" t="s">
        <v>253</v>
      </c>
      <c r="F245" s="2" t="str">
        <f>"0966455952    "</f>
        <v xml:space="preserve">0966455952    </v>
      </c>
      <c r="G245" s="2" t="str">
        <f>"山村礼二"</f>
        <v>山村礼二</v>
      </c>
      <c r="H245" s="2" t="str">
        <f>"H07.02.16"</f>
        <v>H07.02.16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</row>
    <row r="246" spans="2:15" x14ac:dyDescent="0.2">
      <c r="B246" s="2" t="str">
        <f t="shared" si="9"/>
        <v>人吉</v>
      </c>
      <c r="C246" s="2" t="str">
        <f>"秋山歯科医院"</f>
        <v>秋山歯科医院</v>
      </c>
      <c r="D246" s="2" t="str">
        <f>"868-0501"</f>
        <v>868-0501</v>
      </c>
      <c r="E246" s="2" t="s">
        <v>254</v>
      </c>
      <c r="F246" s="2" t="str">
        <f>"0966426511    "</f>
        <v xml:space="preserve">0966426511    </v>
      </c>
      <c r="G246" s="2" t="str">
        <f>"秋山雅治"</f>
        <v>秋山雅治</v>
      </c>
      <c r="H246" s="2" t="str">
        <f>"S60.11.11"</f>
        <v>S60.11.11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</row>
    <row r="247" spans="2:15" x14ac:dyDescent="0.2">
      <c r="B247" s="2" t="str">
        <f t="shared" si="9"/>
        <v>人吉</v>
      </c>
      <c r="C247" s="2" t="str">
        <f>"くろにた歯科医院"</f>
        <v>くろにた歯科医院</v>
      </c>
      <c r="D247" s="2" t="str">
        <f>"868-0501"</f>
        <v>868-0501</v>
      </c>
      <c r="E247" s="2" t="s">
        <v>255</v>
      </c>
      <c r="F247" s="2" t="str">
        <f>"0966421020    "</f>
        <v xml:space="preserve">0966421020    </v>
      </c>
      <c r="G247" s="2" t="str">
        <f>"医療法人侑仁会"</f>
        <v>医療法人侑仁会</v>
      </c>
      <c r="H247" s="2" t="str">
        <f>"H13.05.01"</f>
        <v>H13.05.01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</row>
    <row r="248" spans="2:15" x14ac:dyDescent="0.2">
      <c r="B248" s="2" t="str">
        <f t="shared" si="9"/>
        <v>人吉</v>
      </c>
      <c r="C248" s="2" t="str">
        <f>"水上歯科医院"</f>
        <v>水上歯科医院</v>
      </c>
      <c r="D248" s="2" t="str">
        <f>"868-0701"</f>
        <v>868-0701</v>
      </c>
      <c r="E248" s="2" t="s">
        <v>256</v>
      </c>
      <c r="F248" s="2" t="str">
        <f>"0966440766    "</f>
        <v xml:space="preserve">0966440766    </v>
      </c>
      <c r="G248" s="2" t="str">
        <f>"梁　　　瑞峰"</f>
        <v>梁　　　瑞峰</v>
      </c>
      <c r="H248" s="2" t="str">
        <f>"H09.03.18"</f>
        <v>H09.03.18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</row>
    <row r="249" spans="2:15" x14ac:dyDescent="0.2">
      <c r="B249" s="2" t="str">
        <f t="shared" si="9"/>
        <v>人吉</v>
      </c>
      <c r="C249" s="2" t="str">
        <f>"菊竹歯科"</f>
        <v>菊竹歯科</v>
      </c>
      <c r="D249" s="2" t="str">
        <f>"868-0054"</f>
        <v>868-0054</v>
      </c>
      <c r="E249" s="2" t="s">
        <v>257</v>
      </c>
      <c r="F249" s="2" t="str">
        <f>"0966222448    "</f>
        <v xml:space="preserve">0966222448    </v>
      </c>
      <c r="G249" s="2" t="str">
        <f>"菊竹　茂人"</f>
        <v>菊竹　茂人</v>
      </c>
      <c r="H249" s="2" t="str">
        <f>"H17.07.01"</f>
        <v>H17.07.01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</row>
    <row r="250" spans="2:15" x14ac:dyDescent="0.2">
      <c r="B250" s="2" t="str">
        <f t="shared" si="9"/>
        <v>人吉</v>
      </c>
      <c r="C250" s="2" t="str">
        <f>"やまさき歯科医院"</f>
        <v>やまさき歯科医院</v>
      </c>
      <c r="D250" s="2" t="str">
        <f>"868-0606"</f>
        <v>868-0606</v>
      </c>
      <c r="E250" s="2" t="s">
        <v>258</v>
      </c>
      <c r="F250" s="2" t="str">
        <f>"0966432486    "</f>
        <v xml:space="preserve">0966432486    </v>
      </c>
      <c r="G250" s="2" t="str">
        <f>"山崎浩次郎"</f>
        <v>山崎浩次郎</v>
      </c>
      <c r="H250" s="2" t="str">
        <f>"H21.10.13"</f>
        <v>H21.10.13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</row>
    <row r="251" spans="2:15" x14ac:dyDescent="0.2">
      <c r="B251" s="2" t="str">
        <f t="shared" si="9"/>
        <v>人吉</v>
      </c>
      <c r="C251" s="2" t="str">
        <f>"さくら歯科医院"</f>
        <v>さくら歯科医院</v>
      </c>
      <c r="D251" s="2" t="str">
        <f>"868-0303"</f>
        <v>868-0303</v>
      </c>
      <c r="E251" s="2" t="s">
        <v>259</v>
      </c>
      <c r="F251" s="2" t="str">
        <f>"0966383718    "</f>
        <v xml:space="preserve">0966383718    </v>
      </c>
      <c r="G251" s="2" t="str">
        <f>"西岡　慎一"</f>
        <v>西岡　慎一</v>
      </c>
      <c r="H251" s="2" t="str">
        <f>"H22.11.01"</f>
        <v>H22.11.01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</row>
    <row r="252" spans="2:15" x14ac:dyDescent="0.2">
      <c r="B252" s="2" t="str">
        <f t="shared" si="9"/>
        <v>人吉</v>
      </c>
      <c r="C252" s="2" t="str">
        <f>"たなかファミリー歯科"</f>
        <v>たなかファミリー歯科</v>
      </c>
      <c r="D252" s="2" t="str">
        <f>"868-0037"</f>
        <v>868-0037</v>
      </c>
      <c r="E252" s="2" t="s">
        <v>260</v>
      </c>
      <c r="F252" s="2" t="str">
        <f>"0966236871    "</f>
        <v xml:space="preserve">0966236871    </v>
      </c>
      <c r="G252" s="2" t="str">
        <f>"田中　勝久"</f>
        <v>田中　勝久</v>
      </c>
      <c r="H252" s="2" t="str">
        <f>"H24.09.18"</f>
        <v>H24.09.18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</row>
    <row r="253" spans="2:15" x14ac:dyDescent="0.2">
      <c r="B253" s="2" t="str">
        <f t="shared" si="9"/>
        <v>人吉</v>
      </c>
      <c r="C253" s="2" t="str">
        <f>"内山クリニック"</f>
        <v>内山クリニック</v>
      </c>
      <c r="D253" s="2" t="str">
        <f>"868-0004"</f>
        <v>868-0004</v>
      </c>
      <c r="E253" s="2" t="s">
        <v>261</v>
      </c>
      <c r="F253" s="2" t="str">
        <f>"0699222069    "</f>
        <v xml:space="preserve">0699222069    </v>
      </c>
      <c r="G253" s="2" t="str">
        <f>"医療法人社団内山会"</f>
        <v>医療法人社団内山会</v>
      </c>
      <c r="H253" s="2" t="str">
        <f>"H24.12.12"</f>
        <v>H24.12.12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</row>
    <row r="254" spans="2:15" x14ac:dyDescent="0.2">
      <c r="B254" s="2" t="str">
        <f t="shared" si="9"/>
        <v>人吉</v>
      </c>
      <c r="C254" s="2" t="str">
        <f>"むかえ歯科医院"</f>
        <v>むかえ歯科医院</v>
      </c>
      <c r="D254" s="2" t="str">
        <f>"868-0611"</f>
        <v>868-0611</v>
      </c>
      <c r="E254" s="2" t="s">
        <v>262</v>
      </c>
      <c r="F254" s="2" t="str">
        <f>"0966433131    "</f>
        <v xml:space="preserve">0966433131    </v>
      </c>
      <c r="G254" s="2" t="str">
        <f>"医療法人　恵福会"</f>
        <v>医療法人　恵福会</v>
      </c>
      <c r="H254" s="2" t="str">
        <f>"H28.03.01"</f>
        <v>H28.03.01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</row>
    <row r="255" spans="2:15" x14ac:dyDescent="0.2">
      <c r="B255" s="2" t="str">
        <f t="shared" si="9"/>
        <v>人吉</v>
      </c>
      <c r="C255" s="2" t="str">
        <f>"新名歯科医院"</f>
        <v>新名歯科医院</v>
      </c>
      <c r="D255" s="2" t="str">
        <f>"868-0016"</f>
        <v>868-0016</v>
      </c>
      <c r="E255" s="2" t="s">
        <v>263</v>
      </c>
      <c r="F255" s="2" t="str">
        <f>"0966224027    "</f>
        <v xml:space="preserve">0966224027    </v>
      </c>
      <c r="G255" s="2" t="str">
        <f>"新名　正明"</f>
        <v>新名　正明</v>
      </c>
      <c r="H255" s="2" t="str">
        <f>"H29.03.17"</f>
        <v>H29.03.17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</row>
    <row r="256" spans="2:15" x14ac:dyDescent="0.2">
      <c r="B256" s="2" t="str">
        <f t="shared" si="9"/>
        <v>人吉</v>
      </c>
      <c r="C256" s="2" t="str">
        <f>"おおた歯科こども歯科クリニック"</f>
        <v>おおた歯科こども歯科クリニック</v>
      </c>
      <c r="D256" s="2" t="str">
        <f>"868-0601"</f>
        <v>868-0601</v>
      </c>
      <c r="E256" s="2" t="s">
        <v>264</v>
      </c>
      <c r="F256" s="2" t="str">
        <f>"0966421122    "</f>
        <v xml:space="preserve">0966421122    </v>
      </c>
      <c r="G256" s="2" t="str">
        <f>"医療法人稚遥会"</f>
        <v>医療法人稚遥会</v>
      </c>
      <c r="H256" s="2" t="str">
        <f>"R01.05.10"</f>
        <v>R01.05.10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</row>
    <row r="257" spans="2:15" x14ac:dyDescent="0.2">
      <c r="B257" s="2" t="str">
        <f t="shared" si="9"/>
        <v>人吉</v>
      </c>
      <c r="C257" s="2" t="str">
        <f>"球磨川歯科医院"</f>
        <v>球磨川歯科医院</v>
      </c>
      <c r="D257" s="2" t="str">
        <f>"869-6403"</f>
        <v>869-6403</v>
      </c>
      <c r="E257" s="2" t="s">
        <v>265</v>
      </c>
      <c r="F257" s="2" t="str">
        <f>"0966321109    "</f>
        <v xml:space="preserve">0966321109    </v>
      </c>
      <c r="G257" s="2" t="str">
        <f>"宮原　光春"</f>
        <v>宮原　光春</v>
      </c>
      <c r="H257" s="2" t="str">
        <f>"R02.10.19"</f>
        <v>R02.10.19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</row>
    <row r="258" spans="2:15" x14ac:dyDescent="0.2">
      <c r="B258" s="2" t="str">
        <f t="shared" si="9"/>
        <v>人吉</v>
      </c>
      <c r="C258" s="2" t="str">
        <f>"医療法人　春陽会　佐々木人吉駅歯科"</f>
        <v>医療法人　春陽会　佐々木人吉駅歯科</v>
      </c>
      <c r="D258" s="2" t="str">
        <f>"868-0008"</f>
        <v>868-0008</v>
      </c>
      <c r="E258" s="2" t="s">
        <v>266</v>
      </c>
      <c r="F258" s="2" t="str">
        <f>"0966223003    "</f>
        <v xml:space="preserve">0966223003    </v>
      </c>
      <c r="G258" s="2" t="str">
        <f>"医療法人　春陽会"</f>
        <v>医療法人　春陽会</v>
      </c>
      <c r="H258" s="2" t="str">
        <f>"R04.10.01"</f>
        <v>R04.10.01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</row>
    <row r="259" spans="2:15" x14ac:dyDescent="0.2">
      <c r="B259" s="2" t="str">
        <f t="shared" si="9"/>
        <v>人吉</v>
      </c>
      <c r="C259" s="2" t="str">
        <f>"那須＆べいか歯科クリニック"</f>
        <v>那須＆べいか歯科クリニック</v>
      </c>
      <c r="D259" s="2" t="str">
        <f>"868-0058"</f>
        <v>868-0058</v>
      </c>
      <c r="E259" s="2" t="s">
        <v>267</v>
      </c>
      <c r="F259" s="2" t="str">
        <f>"0966225048    "</f>
        <v xml:space="preserve">0966225048    </v>
      </c>
      <c r="G259" s="2" t="str">
        <f>"米花　征貢"</f>
        <v>米花　征貢</v>
      </c>
      <c r="H259" s="2" t="str">
        <f>"R05.04.12"</f>
        <v>R05.04.12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</row>
    <row r="260" spans="2:15" x14ac:dyDescent="0.2">
      <c r="B260" s="2" t="str">
        <f t="shared" si="9"/>
        <v>人吉</v>
      </c>
      <c r="C260" s="2" t="str">
        <f>"あさぎり歯科クリニック"</f>
        <v>あさぎり歯科クリニック</v>
      </c>
      <c r="D260" s="2" t="str">
        <f>"        "</f>
        <v xml:space="preserve">        </v>
      </c>
      <c r="E260" s="2" t="s">
        <v>268</v>
      </c>
      <c r="F260" s="2" t="str">
        <f>"0966451313    "</f>
        <v xml:space="preserve">0966451313    </v>
      </c>
      <c r="G260" s="2" t="str">
        <f>"梶山　茂樹"</f>
        <v>梶山　茂樹</v>
      </c>
      <c r="H260" s="2" t="str">
        <f>"R05.12.01"</f>
        <v>R05.12.01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</row>
    <row r="261" spans="2:15" x14ac:dyDescent="0.2">
      <c r="B261" s="2" t="str">
        <f t="shared" ref="B261:B292" si="10">"有明"</f>
        <v>有明</v>
      </c>
      <c r="C261" s="2" t="str">
        <f>"北野歯科医院"</f>
        <v>北野歯科医院</v>
      </c>
      <c r="D261" s="2" t="str">
        <f>"864-0163"</f>
        <v>864-0163</v>
      </c>
      <c r="E261" s="2" t="s">
        <v>269</v>
      </c>
      <c r="F261" s="2" t="str">
        <f>"0968680190    "</f>
        <v xml:space="preserve">0968680190    </v>
      </c>
      <c r="G261" s="2" t="str">
        <f>"北野　正民"</f>
        <v>北野　正民</v>
      </c>
      <c r="H261" s="2" t="str">
        <f>"H12.03.06"</f>
        <v>H12.03.06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</row>
    <row r="262" spans="2:15" x14ac:dyDescent="0.2">
      <c r="B262" s="2" t="str">
        <f t="shared" si="10"/>
        <v>有明</v>
      </c>
      <c r="C262" s="2" t="str">
        <f>"坂田歯科医院"</f>
        <v>坂田歯科医院</v>
      </c>
      <c r="D262" s="2" t="str">
        <f>"864-0041"</f>
        <v>864-0041</v>
      </c>
      <c r="E262" s="2" t="s">
        <v>270</v>
      </c>
      <c r="F262" s="2" t="str">
        <f>"0968622000    "</f>
        <v xml:space="preserve">0968622000    </v>
      </c>
      <c r="G262" s="2" t="str">
        <f>"医療法人輝成会"</f>
        <v>医療法人輝成会</v>
      </c>
      <c r="H262" s="2" t="str">
        <f>"H01.12.01"</f>
        <v>H01.12.01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</row>
    <row r="263" spans="2:15" x14ac:dyDescent="0.2">
      <c r="B263" s="2" t="str">
        <f t="shared" si="10"/>
        <v>有明</v>
      </c>
      <c r="C263" s="2" t="str">
        <f>"白井デンタルクリニック"</f>
        <v>白井デンタルクリニック</v>
      </c>
      <c r="D263" s="2" t="str">
        <f>"864-0053"</f>
        <v>864-0053</v>
      </c>
      <c r="E263" s="2" t="s">
        <v>271</v>
      </c>
      <c r="F263" s="2" t="str">
        <f>"0968629277    "</f>
        <v xml:space="preserve">0968629277    </v>
      </c>
      <c r="G263" s="2" t="str">
        <f>"白井　徹郎"</f>
        <v>白井　徹郎</v>
      </c>
      <c r="H263" s="2" t="str">
        <f>"H16.04.01"</f>
        <v>H16.04.01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</row>
    <row r="264" spans="2:15" x14ac:dyDescent="0.2">
      <c r="B264" s="2" t="str">
        <f t="shared" si="10"/>
        <v>有明</v>
      </c>
      <c r="C264" s="2" t="str">
        <f>"薪歯科医院"</f>
        <v>薪歯科医院</v>
      </c>
      <c r="D264" s="2" t="str">
        <f>"864-0051"</f>
        <v>864-0051</v>
      </c>
      <c r="E264" s="2" t="s">
        <v>272</v>
      </c>
      <c r="F264" s="2" t="str">
        <f>"0968620100    "</f>
        <v xml:space="preserve">0968620100    </v>
      </c>
      <c r="G264" s="2" t="str">
        <f>"薪　富士雄"</f>
        <v>薪　富士雄</v>
      </c>
      <c r="H264" s="2" t="str">
        <f>"S55.06.30"</f>
        <v>S55.06.30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</row>
    <row r="265" spans="2:15" x14ac:dyDescent="0.2">
      <c r="B265" s="2" t="str">
        <f t="shared" si="10"/>
        <v>有明</v>
      </c>
      <c r="C265" s="2" t="str">
        <f>"田中歯科医院"</f>
        <v>田中歯科医院</v>
      </c>
      <c r="D265" s="2" t="str">
        <f>"864-0031"</f>
        <v>864-0031</v>
      </c>
      <c r="E265" s="2" t="s">
        <v>273</v>
      </c>
      <c r="F265" s="2" t="str">
        <f>"0968660473    "</f>
        <v xml:space="preserve">0968660473    </v>
      </c>
      <c r="G265" s="2" t="str">
        <f>"田中　正"</f>
        <v>田中　正</v>
      </c>
      <c r="H265" s="2" t="str">
        <f>"S59.04.30"</f>
        <v>S59.04.30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</row>
    <row r="266" spans="2:15" x14ac:dyDescent="0.2">
      <c r="B266" s="2" t="str">
        <f t="shared" si="10"/>
        <v>有明</v>
      </c>
      <c r="C266" s="2" t="str">
        <f>"田畑歯科医院"</f>
        <v>田畑歯科医院</v>
      </c>
      <c r="D266" s="2" t="str">
        <f>"864-0023"</f>
        <v>864-0023</v>
      </c>
      <c r="E266" s="2" t="s">
        <v>274</v>
      </c>
      <c r="F266" s="2" t="str">
        <f>"0968685333    "</f>
        <v xml:space="preserve">0968685333    </v>
      </c>
      <c r="G266" s="2" t="str">
        <f>"田畑　祐亮"</f>
        <v>田畑　祐亮</v>
      </c>
      <c r="H266" s="2" t="str">
        <f>"S63.06.06"</f>
        <v>S63.06.06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</row>
    <row r="267" spans="2:15" x14ac:dyDescent="0.2">
      <c r="B267" s="2" t="str">
        <f t="shared" si="10"/>
        <v>有明</v>
      </c>
      <c r="C267" s="2" t="str">
        <f>"ばば歯科クリニック"</f>
        <v>ばば歯科クリニック</v>
      </c>
      <c r="D267" s="2" t="str">
        <f>"864-0041"</f>
        <v>864-0041</v>
      </c>
      <c r="E267" s="2" t="s">
        <v>275</v>
      </c>
      <c r="F267" s="2" t="str">
        <f>"0968633600    "</f>
        <v xml:space="preserve">0968633600    </v>
      </c>
      <c r="G267" s="2" t="str">
        <f>"馬場　一英"</f>
        <v>馬場　一英</v>
      </c>
      <c r="H267" s="2" t="str">
        <f>"H11.09.16"</f>
        <v>H11.09.16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</row>
    <row r="268" spans="2:15" x14ac:dyDescent="0.2">
      <c r="B268" s="2" t="str">
        <f t="shared" si="10"/>
        <v>有明</v>
      </c>
      <c r="C268" s="2" t="str">
        <f>"ひきた歯科クリニック"</f>
        <v>ひきた歯科クリニック</v>
      </c>
      <c r="D268" s="2" t="str">
        <f>"864-0041"</f>
        <v>864-0041</v>
      </c>
      <c r="E268" s="2" t="s">
        <v>276</v>
      </c>
      <c r="F268" s="2" t="str">
        <f>"0968693888    "</f>
        <v xml:space="preserve">0968693888    </v>
      </c>
      <c r="G268" s="2" t="str">
        <f>"疋田　貴之"</f>
        <v>疋田　貴之</v>
      </c>
      <c r="H268" s="2" t="str">
        <f>"H13.07.19"</f>
        <v>H13.07.19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</row>
    <row r="269" spans="2:15" x14ac:dyDescent="0.2">
      <c r="B269" s="2" t="str">
        <f t="shared" si="10"/>
        <v>有明</v>
      </c>
      <c r="C269" s="2" t="str">
        <f>"ふかうら歯科医院"</f>
        <v>ふかうら歯科医院</v>
      </c>
      <c r="D269" s="2" t="str">
        <f>"864-0033"</f>
        <v>864-0033</v>
      </c>
      <c r="E269" s="2" t="s">
        <v>277</v>
      </c>
      <c r="F269" s="2" t="str">
        <f>"0968693718    "</f>
        <v xml:space="preserve">0968693718    </v>
      </c>
      <c r="G269" s="2" t="str">
        <f>"深浦　武志"</f>
        <v>深浦　武志</v>
      </c>
      <c r="H269" s="2" t="str">
        <f>"H10.10.07"</f>
        <v>H10.10.07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</row>
    <row r="270" spans="2:15" x14ac:dyDescent="0.2">
      <c r="B270" s="2" t="str">
        <f t="shared" si="10"/>
        <v>有明</v>
      </c>
      <c r="C270" s="2" t="str">
        <f>"ふじもと歯科医院"</f>
        <v>ふじもと歯科医院</v>
      </c>
      <c r="D270" s="2" t="str">
        <f>"864-0163"</f>
        <v>864-0163</v>
      </c>
      <c r="E270" s="2" t="s">
        <v>278</v>
      </c>
      <c r="F270" s="2" t="str">
        <f>"0968683755    "</f>
        <v xml:space="preserve">0968683755    </v>
      </c>
      <c r="G270" s="2" t="str">
        <f>"藤本　博"</f>
        <v>藤本　博</v>
      </c>
      <c r="H270" s="2" t="str">
        <f>"H04.06.23"</f>
        <v>H04.06.23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</row>
    <row r="271" spans="2:15" x14ac:dyDescent="0.2">
      <c r="B271" s="2" t="str">
        <f t="shared" si="10"/>
        <v>有明</v>
      </c>
      <c r="C271" s="2" t="str">
        <f>"ふみ歯科医院"</f>
        <v>ふみ歯科医院</v>
      </c>
      <c r="D271" s="2" t="str">
        <f>"864-0032"</f>
        <v>864-0032</v>
      </c>
      <c r="E271" s="2" t="s">
        <v>279</v>
      </c>
      <c r="F271" s="2" t="str">
        <f>"0968690234    "</f>
        <v xml:space="preserve">0968690234    </v>
      </c>
      <c r="G271" s="2" t="str">
        <f>"田中　文丸"</f>
        <v>田中　文丸</v>
      </c>
      <c r="H271" s="2" t="str">
        <f>"H12.05.31"</f>
        <v>H12.05.31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</row>
    <row r="272" spans="2:15" x14ac:dyDescent="0.2">
      <c r="B272" s="2" t="str">
        <f t="shared" si="10"/>
        <v>有明</v>
      </c>
      <c r="C272" s="2" t="str">
        <f>"まえじま歯科医院"</f>
        <v>まえじま歯科医院</v>
      </c>
      <c r="D272" s="2" t="str">
        <f>"864-0032"</f>
        <v>864-0032</v>
      </c>
      <c r="E272" s="2" t="s">
        <v>280</v>
      </c>
      <c r="F272" s="2" t="str">
        <f>"0968686489    "</f>
        <v xml:space="preserve">0968686489    </v>
      </c>
      <c r="G272" s="2" t="str">
        <f>"医療法人幸和会"</f>
        <v>医療法人幸和会</v>
      </c>
      <c r="H272" s="2" t="str">
        <f>"H17.01.01"</f>
        <v>H17.01.01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</row>
    <row r="273" spans="2:15" x14ac:dyDescent="0.2">
      <c r="B273" s="2" t="str">
        <f t="shared" si="10"/>
        <v>有明</v>
      </c>
      <c r="C273" s="2" t="str">
        <f>"山本歯科医院"</f>
        <v>山本歯科医院</v>
      </c>
      <c r="D273" s="2" t="str">
        <f>"864-0004"</f>
        <v>864-0004</v>
      </c>
      <c r="E273" s="2" t="s">
        <v>281</v>
      </c>
      <c r="F273" s="2" t="str">
        <f>"0968630202    "</f>
        <v xml:space="preserve">0968630202    </v>
      </c>
      <c r="G273" s="2" t="str">
        <f>"山本　宏"</f>
        <v>山本　宏</v>
      </c>
      <c r="H273" s="2" t="str">
        <f>"S61.06.30"</f>
        <v>S61.06.30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</row>
    <row r="274" spans="2:15" x14ac:dyDescent="0.2">
      <c r="B274" s="2" t="str">
        <f t="shared" si="10"/>
        <v>有明</v>
      </c>
      <c r="C274" s="2" t="str">
        <f>"いなもり歯科クリニツク"</f>
        <v>いなもり歯科クリニツク</v>
      </c>
      <c r="D274" s="2" t="str">
        <f>"865-0061"</f>
        <v>865-0061</v>
      </c>
      <c r="E274" s="2" t="s">
        <v>282</v>
      </c>
      <c r="F274" s="2" t="str">
        <f>"0968738241    "</f>
        <v xml:space="preserve">0968738241    </v>
      </c>
      <c r="G274" s="2" t="str">
        <f>"医療法人社団清徳会"</f>
        <v>医療法人社団清徳会</v>
      </c>
      <c r="H274" s="2" t="str">
        <f>"H01.12.01"</f>
        <v>H01.12.01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</row>
    <row r="275" spans="2:15" x14ac:dyDescent="0.2">
      <c r="B275" s="2" t="str">
        <f t="shared" si="10"/>
        <v>有明</v>
      </c>
      <c r="C275" s="2" t="str">
        <f>"犬束歯科医院"</f>
        <v>犬束歯科医院</v>
      </c>
      <c r="D275" s="2" t="str">
        <f>"865-0051"</f>
        <v>865-0051</v>
      </c>
      <c r="E275" s="2" t="s">
        <v>283</v>
      </c>
      <c r="F275" s="2" t="str">
        <f>"0968741148    "</f>
        <v xml:space="preserve">0968741148    </v>
      </c>
      <c r="G275" s="2" t="str">
        <f>"犬束　美尚"</f>
        <v>犬束　美尚</v>
      </c>
      <c r="H275" s="2" t="str">
        <f>"S58.01.01"</f>
        <v>S58.01.01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</row>
    <row r="276" spans="2:15" x14ac:dyDescent="0.2">
      <c r="B276" s="2" t="str">
        <f t="shared" si="10"/>
        <v>有明</v>
      </c>
      <c r="C276" s="2" t="str">
        <f>"城井歯科医院"</f>
        <v>城井歯科医院</v>
      </c>
      <c r="D276" s="2" t="str">
        <f>"865-0015"</f>
        <v>865-0015</v>
      </c>
      <c r="E276" s="2" t="s">
        <v>284</v>
      </c>
      <c r="F276" s="2" t="str">
        <f>"0968722669    "</f>
        <v xml:space="preserve">0968722669    </v>
      </c>
      <c r="G276" s="2" t="str">
        <f>"医療法人青陽会"</f>
        <v>医療法人青陽会</v>
      </c>
      <c r="H276" s="2" t="str">
        <f>"H06.07.01"</f>
        <v>H06.07.01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</row>
    <row r="277" spans="2:15" x14ac:dyDescent="0.2">
      <c r="B277" s="2" t="str">
        <f t="shared" si="10"/>
        <v>有明</v>
      </c>
      <c r="C277" s="2" t="str">
        <f>"さかい歯科医院"</f>
        <v>さかい歯科医院</v>
      </c>
      <c r="D277" s="2" t="str">
        <f>"865-0065"</f>
        <v>865-0065</v>
      </c>
      <c r="E277" s="2" t="s">
        <v>285</v>
      </c>
      <c r="F277" s="2" t="str">
        <f>"0968738283    "</f>
        <v xml:space="preserve">0968738283    </v>
      </c>
      <c r="G277" s="2" t="str">
        <f>"境　俊之"</f>
        <v>境　俊之</v>
      </c>
      <c r="H277" s="2" t="str">
        <f>"H06.05.16"</f>
        <v>H06.05.16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</row>
    <row r="278" spans="2:15" x14ac:dyDescent="0.2">
      <c r="B278" s="2" t="str">
        <f t="shared" si="10"/>
        <v>有明</v>
      </c>
      <c r="C278" s="2" t="str">
        <f>"冨永歯科医院"</f>
        <v>冨永歯科医院</v>
      </c>
      <c r="D278" s="2" t="str">
        <f>"865-0025"</f>
        <v>865-0025</v>
      </c>
      <c r="E278" s="2" t="s">
        <v>286</v>
      </c>
      <c r="F278" s="2" t="str">
        <f>"0968740118    "</f>
        <v xml:space="preserve">0968740118    </v>
      </c>
      <c r="G278" s="2" t="str">
        <f>"冨永　英俊"</f>
        <v>冨永　英俊</v>
      </c>
      <c r="H278" s="2" t="str">
        <f>"H08.04.01"</f>
        <v>H08.04.01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</row>
    <row r="279" spans="2:15" x14ac:dyDescent="0.2">
      <c r="B279" s="2" t="str">
        <f t="shared" si="10"/>
        <v>有明</v>
      </c>
      <c r="C279" s="2" t="str">
        <f>"冨永歯科医院"</f>
        <v>冨永歯科医院</v>
      </c>
      <c r="D279" s="2" t="str">
        <f>"865-0065"</f>
        <v>865-0065</v>
      </c>
      <c r="E279" s="2" t="s">
        <v>287</v>
      </c>
      <c r="F279" s="2" t="str">
        <f>"0968723850    "</f>
        <v xml:space="preserve">0968723850    </v>
      </c>
      <c r="G279" s="2" t="str">
        <f>"冨永　浩義"</f>
        <v>冨永　浩義</v>
      </c>
      <c r="H279" s="2" t="str">
        <f>"S62.05.29"</f>
        <v>S62.05.29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</row>
    <row r="280" spans="2:15" x14ac:dyDescent="0.2">
      <c r="B280" s="2" t="str">
        <f t="shared" si="10"/>
        <v>有明</v>
      </c>
      <c r="C280" s="2" t="str">
        <f>"にしむら歯科医院"</f>
        <v>にしむら歯科医院</v>
      </c>
      <c r="D280" s="2" t="str">
        <f>"865-0055"</f>
        <v>865-0055</v>
      </c>
      <c r="E280" s="2" t="s">
        <v>288</v>
      </c>
      <c r="F280" s="2" t="str">
        <f>"0968762816    "</f>
        <v xml:space="preserve">0968762816    </v>
      </c>
      <c r="G280" s="2" t="str">
        <f>"西村　真悟"</f>
        <v>西村　真悟</v>
      </c>
      <c r="H280" s="2" t="str">
        <f>"H06.01.06"</f>
        <v>H06.01.06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</row>
    <row r="281" spans="2:15" x14ac:dyDescent="0.2">
      <c r="B281" s="2" t="str">
        <f t="shared" si="10"/>
        <v>有明</v>
      </c>
      <c r="C281" s="2" t="str">
        <f>"福富歯科医院"</f>
        <v>福富歯科医院</v>
      </c>
      <c r="D281" s="2" t="str">
        <f>"865-0025"</f>
        <v>865-0025</v>
      </c>
      <c r="E281" s="2" t="s">
        <v>289</v>
      </c>
      <c r="F281" s="2" t="str">
        <f>"0968741001    "</f>
        <v xml:space="preserve">0968741001    </v>
      </c>
      <c r="G281" s="2" t="str">
        <f>"福富　義一"</f>
        <v>福富　義一</v>
      </c>
      <c r="H281" s="2" t="str">
        <f>"H17.01.01"</f>
        <v>H17.01.01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</row>
    <row r="282" spans="2:15" x14ac:dyDescent="0.2">
      <c r="B282" s="2" t="str">
        <f t="shared" si="10"/>
        <v>有明</v>
      </c>
      <c r="C282" s="2" t="str">
        <f>"増田歯科医院"</f>
        <v>増田歯科医院</v>
      </c>
      <c r="D282" s="2" t="str">
        <f>"865-0056"</f>
        <v>865-0056</v>
      </c>
      <c r="E282" s="2" t="s">
        <v>290</v>
      </c>
      <c r="F282" s="2" t="str">
        <f>"0968762421    "</f>
        <v xml:space="preserve">0968762421    </v>
      </c>
      <c r="G282" s="2" t="str">
        <f>"増田　憲敏"</f>
        <v>増田　憲敏</v>
      </c>
      <c r="H282" s="2" t="str">
        <f>"S62.04.03"</f>
        <v>S62.04.03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</row>
    <row r="283" spans="2:15" x14ac:dyDescent="0.2">
      <c r="B283" s="2" t="str">
        <f t="shared" si="10"/>
        <v>有明</v>
      </c>
      <c r="C283" s="2" t="str">
        <f>"もり歯科医院"</f>
        <v>もり歯科医院</v>
      </c>
      <c r="D283" s="2" t="str">
        <f>"865-0064"</f>
        <v>865-0064</v>
      </c>
      <c r="E283" s="2" t="s">
        <v>291</v>
      </c>
      <c r="F283" s="2" t="str">
        <f>"0968741203    "</f>
        <v xml:space="preserve">0968741203    </v>
      </c>
      <c r="G283" s="2" t="str">
        <f>"医療法人隆歯会"</f>
        <v>医療法人隆歯会</v>
      </c>
      <c r="H283" s="2" t="str">
        <f>"H06.09.01"</f>
        <v>H06.09.01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</row>
    <row r="284" spans="2:15" x14ac:dyDescent="0.2">
      <c r="B284" s="2" t="str">
        <f t="shared" si="10"/>
        <v>有明</v>
      </c>
      <c r="C284" s="2" t="str">
        <f>"森本歯科診療所"</f>
        <v>森本歯科診療所</v>
      </c>
      <c r="D284" s="2" t="str">
        <f>"865-0064"</f>
        <v>865-0064</v>
      </c>
      <c r="E284" s="2" t="s">
        <v>292</v>
      </c>
      <c r="F284" s="2" t="str">
        <f>"0968738604    "</f>
        <v xml:space="preserve">0968738604    </v>
      </c>
      <c r="G284" s="2" t="str">
        <f>"森本　博仁"</f>
        <v>森本　博仁</v>
      </c>
      <c r="H284" s="2" t="str">
        <f>"S52.06.30"</f>
        <v>S52.06.30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</row>
    <row r="285" spans="2:15" x14ac:dyDescent="0.2">
      <c r="B285" s="2" t="str">
        <f t="shared" si="10"/>
        <v>有明</v>
      </c>
      <c r="C285" s="2" t="str">
        <f>"坂口歯科医院"</f>
        <v>坂口歯科医院</v>
      </c>
      <c r="D285" s="2" t="str">
        <f>"869-0224"</f>
        <v>869-0224</v>
      </c>
      <c r="E285" s="2" t="s">
        <v>293</v>
      </c>
      <c r="F285" s="2" t="str">
        <f>"0968570411    "</f>
        <v xml:space="preserve">0968570411    </v>
      </c>
      <c r="G285" s="2" t="str">
        <f>"医療法人正浩会"</f>
        <v>医療法人正浩会</v>
      </c>
      <c r="H285" s="2" t="str">
        <f>"H06.05.01"</f>
        <v>H06.05.01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</row>
    <row r="286" spans="2:15" x14ac:dyDescent="0.2">
      <c r="B286" s="2" t="str">
        <f t="shared" si="10"/>
        <v>有明</v>
      </c>
      <c r="C286" s="2" t="str">
        <f>"さくら歯科医院"</f>
        <v>さくら歯科医院</v>
      </c>
      <c r="D286" s="2" t="str">
        <f>"869-0236"</f>
        <v>869-0236</v>
      </c>
      <c r="E286" s="2" t="s">
        <v>294</v>
      </c>
      <c r="F286" s="2" t="str">
        <f>"0968573181    "</f>
        <v xml:space="preserve">0968573181    </v>
      </c>
      <c r="G286" s="2" t="str">
        <f>"規工川　浩"</f>
        <v>規工川　浩</v>
      </c>
      <c r="H286" s="2" t="str">
        <f>"H05.11.04"</f>
        <v>H05.11.04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</row>
    <row r="287" spans="2:15" x14ac:dyDescent="0.2">
      <c r="B287" s="2" t="str">
        <f t="shared" si="10"/>
        <v>有明</v>
      </c>
      <c r="C287" s="2" t="str">
        <f>"高道歯科医院"</f>
        <v>高道歯科医院</v>
      </c>
      <c r="D287" s="2" t="str">
        <f>"869-0202"</f>
        <v>869-0202</v>
      </c>
      <c r="E287" s="2" t="s">
        <v>295</v>
      </c>
      <c r="F287" s="2" t="str">
        <f>"0968573717    "</f>
        <v xml:space="preserve">0968573717    </v>
      </c>
      <c r="G287" s="2" t="str">
        <f>"神本　一彦"</f>
        <v>神本　一彦</v>
      </c>
      <c r="H287" s="2" t="str">
        <f>"H11.11.01"</f>
        <v>H11.11.01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</row>
    <row r="288" spans="2:15" x14ac:dyDescent="0.2">
      <c r="B288" s="2" t="str">
        <f t="shared" si="10"/>
        <v>有明</v>
      </c>
      <c r="C288" s="2" t="str">
        <f>"増田歯科医院"</f>
        <v>増田歯科医院</v>
      </c>
      <c r="D288" s="2" t="str">
        <f>"865-0072"</f>
        <v>865-0072</v>
      </c>
      <c r="E288" s="2" t="s">
        <v>296</v>
      </c>
      <c r="F288" s="2" t="str">
        <f>"0968842033    "</f>
        <v xml:space="preserve">0968842033    </v>
      </c>
      <c r="G288" s="2" t="str">
        <f>"増田　憲元"</f>
        <v>増田　憲元</v>
      </c>
      <c r="H288" s="2" t="str">
        <f>"S57.01.06"</f>
        <v>S57.01.06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</row>
    <row r="289" spans="2:15" x14ac:dyDescent="0.2">
      <c r="B289" s="2" t="str">
        <f t="shared" si="10"/>
        <v>有明</v>
      </c>
      <c r="C289" s="2" t="str">
        <f>"横島歯科クリニック"</f>
        <v>横島歯科クリニック</v>
      </c>
      <c r="D289" s="2" t="str">
        <f>"865-0072"</f>
        <v>865-0072</v>
      </c>
      <c r="E289" s="2" t="s">
        <v>297</v>
      </c>
      <c r="F289" s="2" t="str">
        <f>"0968844100    "</f>
        <v xml:space="preserve">0968844100    </v>
      </c>
      <c r="G289" s="2" t="str">
        <f>"薪　郁子"</f>
        <v>薪　郁子</v>
      </c>
      <c r="H289" s="2" t="str">
        <f>"H01.06.08"</f>
        <v>H01.06.08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</row>
    <row r="290" spans="2:15" x14ac:dyDescent="0.2">
      <c r="B290" s="2" t="str">
        <f t="shared" si="10"/>
        <v>有明</v>
      </c>
      <c r="C290" s="2" t="str">
        <f>"春野歯科医院"</f>
        <v>春野歯科医院</v>
      </c>
      <c r="D290" s="2" t="str">
        <f>"869-0303"</f>
        <v>869-0303</v>
      </c>
      <c r="E290" s="2" t="s">
        <v>298</v>
      </c>
      <c r="F290" s="2" t="str">
        <f>"0968852013    "</f>
        <v xml:space="preserve">0968852013    </v>
      </c>
      <c r="G290" s="2" t="str">
        <f>"春野　惟一"</f>
        <v>春野　惟一</v>
      </c>
      <c r="H290" s="2" t="str">
        <f>"S62.12.01"</f>
        <v>S62.12.01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</row>
    <row r="291" spans="2:15" x14ac:dyDescent="0.2">
      <c r="B291" s="2" t="str">
        <f t="shared" si="10"/>
        <v>有明</v>
      </c>
      <c r="C291" s="2" t="str">
        <f>"安田歯科医院"</f>
        <v>安田歯科医院</v>
      </c>
      <c r="D291" s="2" t="str">
        <f>"869-0301"</f>
        <v>869-0301</v>
      </c>
      <c r="E291" s="2" t="s">
        <v>299</v>
      </c>
      <c r="F291" s="2" t="str">
        <f>"0968853344    "</f>
        <v xml:space="preserve">0968853344    </v>
      </c>
      <c r="G291" s="2" t="str">
        <f>"安田　光則"</f>
        <v>安田　光則</v>
      </c>
      <c r="H291" s="2" t="str">
        <f>"S63.11.08"</f>
        <v>S63.11.08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</row>
    <row r="292" spans="2:15" x14ac:dyDescent="0.2">
      <c r="B292" s="2" t="str">
        <f t="shared" si="10"/>
        <v>有明</v>
      </c>
      <c r="C292" s="2" t="str">
        <f>"三串歯科医院"</f>
        <v>三串歯科医院</v>
      </c>
      <c r="D292" s="2" t="str">
        <f>"861-0906"</f>
        <v>861-0906</v>
      </c>
      <c r="E292" s="2" t="s">
        <v>300</v>
      </c>
      <c r="F292" s="2" t="str">
        <f>"0968343066    "</f>
        <v xml:space="preserve">0968343066    </v>
      </c>
      <c r="G292" s="2" t="str">
        <f>"加藤　輝子"</f>
        <v>加藤　輝子</v>
      </c>
      <c r="H292" s="2" t="str">
        <f>"H11.04.01"</f>
        <v>H11.04.01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</row>
    <row r="293" spans="2:15" x14ac:dyDescent="0.2">
      <c r="B293" s="2" t="str">
        <f t="shared" ref="B293:B328" si="11">"有明"</f>
        <v>有明</v>
      </c>
      <c r="C293" s="2" t="str">
        <f>"田尻歯科医院"</f>
        <v>田尻歯科医院</v>
      </c>
      <c r="D293" s="2" t="str">
        <f>"861-0803"</f>
        <v>861-0803</v>
      </c>
      <c r="E293" s="2" t="s">
        <v>301</v>
      </c>
      <c r="F293" s="2" t="str">
        <f>"0968532145    "</f>
        <v xml:space="preserve">0968532145    </v>
      </c>
      <c r="G293" s="2" t="str">
        <f>"田尻　光子"</f>
        <v>田尻　光子</v>
      </c>
      <c r="H293" s="2" t="str">
        <f>"S57.08.10"</f>
        <v>S57.08.10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</row>
    <row r="294" spans="2:15" x14ac:dyDescent="0.2">
      <c r="B294" s="2" t="str">
        <f t="shared" si="11"/>
        <v>有明</v>
      </c>
      <c r="C294" s="2" t="str">
        <f>"原歯科クリニック"</f>
        <v>原歯科クリニック</v>
      </c>
      <c r="D294" s="2" t="str">
        <f>"861-0805"</f>
        <v>861-0805</v>
      </c>
      <c r="E294" s="2" t="s">
        <v>302</v>
      </c>
      <c r="F294" s="2" t="str">
        <f>"(0968)531177  "</f>
        <v xml:space="preserve">(0968)531177  </v>
      </c>
      <c r="G294" s="2" t="str">
        <f>"原　祥子"</f>
        <v>原　祥子</v>
      </c>
      <c r="H294" s="2" t="str">
        <f>"H04.05.20"</f>
        <v>H04.05.20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</row>
    <row r="295" spans="2:15" x14ac:dyDescent="0.2">
      <c r="B295" s="2" t="str">
        <f t="shared" si="11"/>
        <v>有明</v>
      </c>
      <c r="C295" s="2" t="str">
        <f>"加藤歯科医院"</f>
        <v>加藤歯科医院</v>
      </c>
      <c r="D295" s="2" t="str">
        <f>"869-0105"</f>
        <v>869-0105</v>
      </c>
      <c r="E295" s="2" t="s">
        <v>303</v>
      </c>
      <c r="F295" s="2" t="str">
        <f>"0968787181    "</f>
        <v xml:space="preserve">0968787181    </v>
      </c>
      <c r="G295" s="2" t="str">
        <f>"加藤　恭裕"</f>
        <v>加藤　恭裕</v>
      </c>
      <c r="H295" s="2" t="str">
        <f>"H11.09.17"</f>
        <v>H11.09.17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</row>
    <row r="296" spans="2:15" x14ac:dyDescent="0.2">
      <c r="B296" s="2" t="str">
        <f t="shared" si="11"/>
        <v>有明</v>
      </c>
      <c r="C296" s="2" t="str">
        <f>"たかさき歯科医院"</f>
        <v>たかさき歯科医院</v>
      </c>
      <c r="D296" s="2" t="str">
        <f>"869-0123"</f>
        <v>869-0123</v>
      </c>
      <c r="E296" s="2" t="s">
        <v>304</v>
      </c>
      <c r="F296" s="2" t="str">
        <f>"0968784181    "</f>
        <v xml:space="preserve">0968784181    </v>
      </c>
      <c r="G296" s="2" t="str">
        <f>"医療法人コスモス会"</f>
        <v>医療法人コスモス会</v>
      </c>
      <c r="H296" s="2" t="str">
        <f>"H02.12.17"</f>
        <v>H02.12.17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</row>
    <row r="297" spans="2:15" x14ac:dyDescent="0.2">
      <c r="B297" s="2" t="str">
        <f t="shared" si="11"/>
        <v>有明</v>
      </c>
      <c r="C297" s="2" t="str">
        <f>"なかむら歯科医院"</f>
        <v>なかむら歯科医院</v>
      </c>
      <c r="D297" s="2" t="str">
        <f>"869-0103"</f>
        <v>869-0103</v>
      </c>
      <c r="E297" s="2" t="s">
        <v>305</v>
      </c>
      <c r="F297" s="2" t="str">
        <f>"0968781040    "</f>
        <v xml:space="preserve">0968781040    </v>
      </c>
      <c r="G297" s="2" t="str">
        <f>"医療法人慎思会"</f>
        <v>医療法人慎思会</v>
      </c>
      <c r="H297" s="2" t="str">
        <f>"H02.05.01"</f>
        <v>H02.05.01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</row>
    <row r="298" spans="2:15" x14ac:dyDescent="0.2">
      <c r="B298" s="2" t="str">
        <f t="shared" si="11"/>
        <v>有明</v>
      </c>
      <c r="C298" s="2" t="str">
        <f>"前田歯科医院"</f>
        <v>前田歯科医院</v>
      </c>
      <c r="D298" s="2" t="str">
        <f>"869-0123"</f>
        <v>869-0123</v>
      </c>
      <c r="E298" s="2" t="s">
        <v>306</v>
      </c>
      <c r="F298" s="2" t="str">
        <f>"0968780100    "</f>
        <v xml:space="preserve">0968780100    </v>
      </c>
      <c r="G298" s="2" t="str">
        <f>"前田　秀一"</f>
        <v>前田　秀一</v>
      </c>
      <c r="H298" s="2" t="str">
        <f>"H06.09.30"</f>
        <v>H06.09.30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</row>
    <row r="299" spans="2:15" x14ac:dyDescent="0.2">
      <c r="B299" s="2" t="str">
        <f t="shared" si="11"/>
        <v>有明</v>
      </c>
      <c r="C299" s="2" t="str">
        <f>"六栄歯科診療所"</f>
        <v>六栄歯科診療所</v>
      </c>
      <c r="D299" s="2" t="str">
        <f>"869-0101"</f>
        <v>869-0101</v>
      </c>
      <c r="E299" s="2" t="s">
        <v>307</v>
      </c>
      <c r="F299" s="2" t="str">
        <f>"0968787044    "</f>
        <v xml:space="preserve">0968787044    </v>
      </c>
      <c r="G299" s="2" t="str">
        <f>"鳴尾　英一"</f>
        <v>鳴尾　英一</v>
      </c>
      <c r="H299" s="2" t="str">
        <f>"H11.10.18"</f>
        <v>H11.10.18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</row>
    <row r="300" spans="2:15" x14ac:dyDescent="0.2">
      <c r="B300" s="2" t="str">
        <f t="shared" si="11"/>
        <v>有明</v>
      </c>
      <c r="C300" s="2" t="str">
        <f>"川野歯科医院"</f>
        <v>川野歯科医院</v>
      </c>
      <c r="D300" s="2" t="str">
        <f>"861-0811"</f>
        <v>861-0811</v>
      </c>
      <c r="E300" s="2" t="s">
        <v>308</v>
      </c>
      <c r="F300" s="2" t="str">
        <f>"0968530234    "</f>
        <v xml:space="preserve">0968530234    </v>
      </c>
      <c r="G300" s="2" t="str">
        <f>"川野　靖幸"</f>
        <v>川野　靖幸</v>
      </c>
      <c r="H300" s="2" t="str">
        <f>"H18.05.10"</f>
        <v>H18.05.10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</row>
    <row r="301" spans="2:15" x14ac:dyDescent="0.2">
      <c r="B301" s="2" t="str">
        <f t="shared" si="11"/>
        <v>有明</v>
      </c>
      <c r="C301" s="2" t="str">
        <f>"ながひろ歯科クリニック"</f>
        <v>ながひろ歯科クリニック</v>
      </c>
      <c r="D301" s="2" t="str">
        <f>"861-5401"</f>
        <v>861-5401</v>
      </c>
      <c r="E301" s="2" t="s">
        <v>309</v>
      </c>
      <c r="F301" s="2" t="str">
        <f>"0968825177    "</f>
        <v xml:space="preserve">0968825177    </v>
      </c>
      <c r="G301" s="2" t="str">
        <f>"永廣　有伸"</f>
        <v>永廣　有伸</v>
      </c>
      <c r="H301" s="2" t="str">
        <f>"H18.10.13"</f>
        <v>H18.10.13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</row>
    <row r="302" spans="2:15" x14ac:dyDescent="0.2">
      <c r="B302" s="2" t="str">
        <f t="shared" si="11"/>
        <v>有明</v>
      </c>
      <c r="C302" s="2" t="str">
        <f>"たなか歯科クリニック"</f>
        <v>たなか歯科クリニック</v>
      </c>
      <c r="D302" s="2" t="str">
        <f>"865-0058"</f>
        <v>865-0058</v>
      </c>
      <c r="E302" s="2" t="s">
        <v>310</v>
      </c>
      <c r="F302" s="2" t="str">
        <f>"0968724125    "</f>
        <v xml:space="preserve">0968724125    </v>
      </c>
      <c r="G302" s="2" t="str">
        <f>"田中　康"</f>
        <v>田中　康</v>
      </c>
      <c r="H302" s="2" t="str">
        <f>"H18.12.11"</f>
        <v>H18.12.11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</row>
    <row r="303" spans="2:15" x14ac:dyDescent="0.2">
      <c r="B303" s="2" t="str">
        <f t="shared" si="11"/>
        <v>有明</v>
      </c>
      <c r="C303" s="2" t="str">
        <f>"あさの歯科医院"</f>
        <v>あさの歯科医院</v>
      </c>
      <c r="D303" s="2" t="str">
        <f>"865-0066"</f>
        <v>865-0066</v>
      </c>
      <c r="E303" s="2" t="s">
        <v>311</v>
      </c>
      <c r="F303" s="2" t="str">
        <f>"0968711133    "</f>
        <v xml:space="preserve">0968711133    </v>
      </c>
      <c r="G303" s="2" t="str">
        <f>"医療法人なごみ会"</f>
        <v>医療法人なごみ会</v>
      </c>
      <c r="H303" s="2" t="str">
        <f>"H19.02.01"</f>
        <v>H19.02.01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</row>
    <row r="304" spans="2:15" x14ac:dyDescent="0.2">
      <c r="B304" s="2" t="str">
        <f t="shared" si="11"/>
        <v>有明</v>
      </c>
      <c r="C304" s="2" t="str">
        <f>"長洲山内歯科診療所"</f>
        <v>長洲山内歯科診療所</v>
      </c>
      <c r="D304" s="2" t="str">
        <f>"869-0123"</f>
        <v>869-0123</v>
      </c>
      <c r="E304" s="2" t="s">
        <v>312</v>
      </c>
      <c r="F304" s="2" t="str">
        <f>"0968786681    "</f>
        <v xml:space="preserve">0968786681    </v>
      </c>
      <c r="G304" s="2" t="str">
        <f>"山内哲朗"</f>
        <v>山内哲朗</v>
      </c>
      <c r="H304" s="2" t="str">
        <f>"H20.03.21"</f>
        <v>H20.03.21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</row>
    <row r="305" spans="2:15" x14ac:dyDescent="0.2">
      <c r="B305" s="2" t="str">
        <f t="shared" si="11"/>
        <v>有明</v>
      </c>
      <c r="C305" s="2" t="str">
        <f>"蔵本歯科医院"</f>
        <v>蔵本歯科医院</v>
      </c>
      <c r="D305" s="2" t="str">
        <f>"864-0054"</f>
        <v>864-0054</v>
      </c>
      <c r="E305" s="2" t="s">
        <v>313</v>
      </c>
      <c r="F305" s="2" t="str">
        <f>"0968620772    "</f>
        <v xml:space="preserve">0968620772    </v>
      </c>
      <c r="G305" s="2" t="str">
        <f>"藏本　茂禎"</f>
        <v>藏本　茂禎</v>
      </c>
      <c r="H305" s="2" t="str">
        <f>"H20.04.01"</f>
        <v>H20.04.01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</row>
    <row r="306" spans="2:15" x14ac:dyDescent="0.2">
      <c r="B306" s="2" t="str">
        <f t="shared" si="11"/>
        <v>有明</v>
      </c>
      <c r="C306" s="2" t="str">
        <f>"山本歯科医院"</f>
        <v>山本歯科医院</v>
      </c>
      <c r="D306" s="2" t="str">
        <f>"865-0066"</f>
        <v>865-0066</v>
      </c>
      <c r="E306" s="2" t="s">
        <v>314</v>
      </c>
      <c r="F306" s="2" t="str">
        <f>"0968710333    "</f>
        <v xml:space="preserve">0968710333    </v>
      </c>
      <c r="G306" s="2" t="str">
        <f>"山本浩喜"</f>
        <v>山本浩喜</v>
      </c>
      <c r="H306" s="2" t="str">
        <f>"H20.06.01"</f>
        <v>H20.06.01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</row>
    <row r="307" spans="2:15" x14ac:dyDescent="0.2">
      <c r="B307" s="2" t="str">
        <f t="shared" si="11"/>
        <v>有明</v>
      </c>
      <c r="C307" s="2" t="str">
        <f>"歯科処神崎"</f>
        <v>歯科処神崎</v>
      </c>
      <c r="D307" s="2" t="str">
        <f>"861-0921"</f>
        <v>861-0921</v>
      </c>
      <c r="E307" s="2" t="s">
        <v>315</v>
      </c>
      <c r="F307" s="2" t="str">
        <f>"0968346606    "</f>
        <v xml:space="preserve">0968346606    </v>
      </c>
      <c r="G307" s="2" t="str">
        <f>"神崎　昌二"</f>
        <v>神崎　昌二</v>
      </c>
      <c r="H307" s="2" t="str">
        <f>"H21.01.13"</f>
        <v>H21.01.13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</row>
    <row r="308" spans="2:15" x14ac:dyDescent="0.2">
      <c r="B308" s="2" t="str">
        <f t="shared" si="11"/>
        <v>有明</v>
      </c>
      <c r="C308" s="2" t="str">
        <f>"アップル歯科クリニック"</f>
        <v>アップル歯科クリニック</v>
      </c>
      <c r="D308" s="2" t="str">
        <f>"865-0065"</f>
        <v>865-0065</v>
      </c>
      <c r="E308" s="2" t="s">
        <v>316</v>
      </c>
      <c r="F308" s="2" t="str">
        <f>"0968742266    "</f>
        <v xml:space="preserve">0968742266    </v>
      </c>
      <c r="G308" s="2" t="str">
        <f>"医療法人古賀歯科医院"</f>
        <v>医療法人古賀歯科医院</v>
      </c>
      <c r="H308" s="2" t="str">
        <f>"H22.05.01"</f>
        <v>H22.05.01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</row>
    <row r="309" spans="2:15" x14ac:dyDescent="0.2">
      <c r="B309" s="2" t="str">
        <f t="shared" si="11"/>
        <v>有明</v>
      </c>
      <c r="C309" s="2" t="str">
        <f>"かい歯科（ｋａｉ　Ｄｅｎｔａｌ）"</f>
        <v>かい歯科（ｋａｉ　Ｄｅｎｔａｌ）</v>
      </c>
      <c r="D309" s="2" t="str">
        <f>"865-0005"</f>
        <v>865-0005</v>
      </c>
      <c r="E309" s="2" t="s">
        <v>317</v>
      </c>
      <c r="F309" s="2" t="str">
        <f>"0968733334    "</f>
        <v xml:space="preserve">0968733334    </v>
      </c>
      <c r="G309" s="2" t="str">
        <f>"甲斐　美和"</f>
        <v>甲斐　美和</v>
      </c>
      <c r="H309" s="2" t="str">
        <f>"H22.05.10"</f>
        <v>H22.05.10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</row>
    <row r="310" spans="2:15" x14ac:dyDescent="0.2">
      <c r="B310" s="2" t="str">
        <f t="shared" si="11"/>
        <v>有明</v>
      </c>
      <c r="C310" s="2" t="str">
        <f>"ふくち歯科医院"</f>
        <v>ふくち歯科医院</v>
      </c>
      <c r="D310" s="2" t="str">
        <f>"861-0822"</f>
        <v>861-0822</v>
      </c>
      <c r="E310" s="2" t="s">
        <v>318</v>
      </c>
      <c r="F310" s="2" t="str">
        <f>"0968538005    "</f>
        <v xml:space="preserve">0968538005    </v>
      </c>
      <c r="G310" s="2" t="str">
        <f>"福地　正貴"</f>
        <v>福地　正貴</v>
      </c>
      <c r="H310" s="2" t="str">
        <f>"H22.12.14"</f>
        <v>H22.12.14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</row>
    <row r="311" spans="2:15" x14ac:dyDescent="0.2">
      <c r="B311" s="2" t="str">
        <f t="shared" si="11"/>
        <v>有明</v>
      </c>
      <c r="C311" s="2" t="str">
        <f>"ほのかデンタルクリニック"</f>
        <v>ほのかデンタルクリニック</v>
      </c>
      <c r="D311" s="2" t="str">
        <f>"865-0061"</f>
        <v>865-0061</v>
      </c>
      <c r="E311" s="2" t="s">
        <v>319</v>
      </c>
      <c r="F311" s="2" t="str">
        <f>"0968579137    "</f>
        <v xml:space="preserve">0968579137    </v>
      </c>
      <c r="G311" s="2" t="str">
        <f>"盛　孝徳"</f>
        <v>盛　孝徳</v>
      </c>
      <c r="H311" s="2" t="str">
        <f>"H22.12.17"</f>
        <v>H22.12.17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</row>
    <row r="312" spans="2:15" x14ac:dyDescent="0.2">
      <c r="B312" s="2" t="str">
        <f t="shared" si="11"/>
        <v>有明</v>
      </c>
      <c r="C312" s="2" t="str">
        <f>"桐野歯科医院"</f>
        <v>桐野歯科医院</v>
      </c>
      <c r="D312" s="2" t="str">
        <f>"865-0045"</f>
        <v>865-0045</v>
      </c>
      <c r="E312" s="2" t="s">
        <v>320</v>
      </c>
      <c r="F312" s="2" t="str">
        <f>"0968723404    "</f>
        <v xml:space="preserve">0968723404    </v>
      </c>
      <c r="G312" s="2" t="str">
        <f>"桐野　美孝"</f>
        <v>桐野　美孝</v>
      </c>
      <c r="H312" s="2" t="str">
        <f>"H23.07.01"</f>
        <v>H23.07.01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</row>
    <row r="313" spans="2:15" x14ac:dyDescent="0.2">
      <c r="B313" s="2" t="str">
        <f t="shared" si="11"/>
        <v>有明</v>
      </c>
      <c r="C313" s="2" t="str">
        <f>"ふくだデンタルクリニック"</f>
        <v>ふくだデンタルクリニック</v>
      </c>
      <c r="D313" s="2" t="str">
        <f>"865-0136"</f>
        <v>865-0136</v>
      </c>
      <c r="E313" s="2" t="s">
        <v>321</v>
      </c>
      <c r="F313" s="2" t="str">
        <f>"0968862052    "</f>
        <v xml:space="preserve">0968862052    </v>
      </c>
      <c r="G313" s="2" t="str">
        <f>"福田　聖一"</f>
        <v>福田　聖一</v>
      </c>
      <c r="H313" s="2" t="str">
        <f>"H24.02.01"</f>
        <v>H24.02.01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</row>
    <row r="314" spans="2:15" x14ac:dyDescent="0.2">
      <c r="B314" s="2" t="str">
        <f t="shared" si="11"/>
        <v>有明</v>
      </c>
      <c r="C314" s="2" t="str">
        <f>"くにさき歯科"</f>
        <v>くにさき歯科</v>
      </c>
      <c r="D314" s="2" t="str">
        <f>"865-0061"</f>
        <v>865-0061</v>
      </c>
      <c r="E314" s="2" t="s">
        <v>322</v>
      </c>
      <c r="F314" s="2" t="str">
        <f>"0968725677    "</f>
        <v xml:space="preserve">0968725677    </v>
      </c>
      <c r="G314" s="2" t="str">
        <f>"國﨑　貴裕"</f>
        <v>國﨑　貴裕</v>
      </c>
      <c r="H314" s="2" t="str">
        <f>"H24.04.20"</f>
        <v>H24.04.20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</row>
    <row r="315" spans="2:15" x14ac:dyDescent="0.2">
      <c r="B315" s="2" t="str">
        <f t="shared" si="11"/>
        <v>有明</v>
      </c>
      <c r="C315" s="2" t="str">
        <f>"ややま歯科クリニック"</f>
        <v>ややま歯科クリニック</v>
      </c>
      <c r="D315" s="2" t="str">
        <f>"864-0042"</f>
        <v>864-0042</v>
      </c>
      <c r="E315" s="2" t="s">
        <v>323</v>
      </c>
      <c r="F315" s="2" t="str">
        <f>"0968643155    "</f>
        <v xml:space="preserve">0968643155    </v>
      </c>
      <c r="G315" s="2" t="str">
        <f>"医療法人　誠和会"</f>
        <v>医療法人　誠和会</v>
      </c>
      <c r="H315" s="2" t="str">
        <f>"H25.04.01"</f>
        <v>H25.04.01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</row>
    <row r="316" spans="2:15" x14ac:dyDescent="0.2">
      <c r="B316" s="2" t="str">
        <f t="shared" si="11"/>
        <v>有明</v>
      </c>
      <c r="C316" s="2" t="str">
        <f>"辻芳郎歯科クリニック"</f>
        <v>辻芳郎歯科クリニック</v>
      </c>
      <c r="D316" s="2" t="str">
        <f>"864-0001"</f>
        <v>864-0001</v>
      </c>
      <c r="E316" s="2" t="s">
        <v>324</v>
      </c>
      <c r="F316" s="2" t="str">
        <f>"0968622700    "</f>
        <v xml:space="preserve">0968622700    </v>
      </c>
      <c r="G316" s="2" t="str">
        <f>"辻　芳郎"</f>
        <v>辻　芳郎</v>
      </c>
      <c r="H316" s="2" t="str">
        <f>"H26.07.17"</f>
        <v>H26.07.17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</row>
    <row r="317" spans="2:15" x14ac:dyDescent="0.2">
      <c r="B317" s="2" t="str">
        <f t="shared" si="11"/>
        <v>有明</v>
      </c>
      <c r="C317" s="2" t="str">
        <f>"大林歯科診療所"</f>
        <v>大林歯科診療所</v>
      </c>
      <c r="D317" s="2" t="str">
        <f>"861-0822"</f>
        <v>861-0822</v>
      </c>
      <c r="E317" s="2" t="s">
        <v>325</v>
      </c>
      <c r="F317" s="2" t="str">
        <f>"0968538148    "</f>
        <v xml:space="preserve">0968538148    </v>
      </c>
      <c r="G317" s="2" t="str">
        <f>"医療法人社団　大恵会"</f>
        <v>医療法人社団　大恵会</v>
      </c>
      <c r="H317" s="2" t="str">
        <f>"H26.08.04"</f>
        <v>H26.08.04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</row>
    <row r="318" spans="2:15" x14ac:dyDescent="0.2">
      <c r="B318" s="2" t="str">
        <f t="shared" si="11"/>
        <v>有明</v>
      </c>
      <c r="C318" s="2" t="str">
        <f>"圭介歯科"</f>
        <v>圭介歯科</v>
      </c>
      <c r="D318" s="2" t="str">
        <f>"864-0002"</f>
        <v>864-0002</v>
      </c>
      <c r="E318" s="2" t="s">
        <v>326</v>
      </c>
      <c r="F318" s="2" t="str">
        <f>"0968621822    "</f>
        <v xml:space="preserve">0968621822    </v>
      </c>
      <c r="G318" s="2" t="str">
        <f>"医療法人栄樹会"</f>
        <v>医療法人栄樹会</v>
      </c>
      <c r="H318" s="2" t="str">
        <f>"H27.06.01"</f>
        <v>H27.06.01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</row>
    <row r="319" spans="2:15" x14ac:dyDescent="0.2">
      <c r="B319" s="2" t="str">
        <f t="shared" si="11"/>
        <v>有明</v>
      </c>
      <c r="C319" s="2" t="str">
        <f>"おがた歯科医院"</f>
        <v>おがた歯科医院</v>
      </c>
      <c r="D319" s="2" t="str">
        <f>"864-0022"</f>
        <v>864-0022</v>
      </c>
      <c r="E319" s="2" t="s">
        <v>327</v>
      </c>
      <c r="F319" s="2" t="str">
        <f>"0968685558    "</f>
        <v xml:space="preserve">0968685558    </v>
      </c>
      <c r="G319" s="2" t="str">
        <f>"医療法人　修二会"</f>
        <v>医療法人　修二会</v>
      </c>
      <c r="H319" s="2" t="str">
        <f>"H30.01.01"</f>
        <v>H30.01.01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</row>
    <row r="320" spans="2:15" x14ac:dyDescent="0.2">
      <c r="B320" s="2" t="str">
        <f t="shared" si="11"/>
        <v>有明</v>
      </c>
      <c r="C320" s="2" t="str">
        <f>"ふるやしき歯科"</f>
        <v>ふるやしき歯科</v>
      </c>
      <c r="D320" s="2" t="str">
        <f>"864-0032"</f>
        <v>864-0032</v>
      </c>
      <c r="E320" s="2" t="s">
        <v>328</v>
      </c>
      <c r="F320" s="2" t="str">
        <f>"0968691181    "</f>
        <v xml:space="preserve">0968691181    </v>
      </c>
      <c r="G320" s="2" t="str">
        <f>"医療法人　令成会"</f>
        <v>医療法人　令成会</v>
      </c>
      <c r="H320" s="2" t="str">
        <f>"R01.10.01"</f>
        <v>R01.10.01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</row>
    <row r="321" spans="2:15" x14ac:dyDescent="0.2">
      <c r="B321" s="2" t="str">
        <f t="shared" si="11"/>
        <v>有明</v>
      </c>
      <c r="C321" s="2" t="str">
        <f>"むらかみ歯科クリニック"</f>
        <v>むらかみ歯科クリニック</v>
      </c>
      <c r="D321" s="2" t="str">
        <f>"869-0222"</f>
        <v>869-0222</v>
      </c>
      <c r="E321" s="2" t="s">
        <v>329</v>
      </c>
      <c r="F321" s="2" t="str">
        <f>"0968575077    "</f>
        <v xml:space="preserve">0968575077    </v>
      </c>
      <c r="G321" s="2" t="str">
        <f>"医療法人社団燦上会"</f>
        <v>医療法人社団燦上会</v>
      </c>
      <c r="H321" s="2" t="str">
        <f>"R03.04.01"</f>
        <v>R03.04.01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</row>
    <row r="322" spans="2:15" x14ac:dyDescent="0.2">
      <c r="B322" s="2" t="str">
        <f t="shared" si="11"/>
        <v>有明</v>
      </c>
      <c r="C322" s="2" t="str">
        <f>"まつばら歯科口腔外科こども歯科"</f>
        <v>まつばら歯科口腔外科こども歯科</v>
      </c>
      <c r="D322" s="2" t="str">
        <f>"865-0058"</f>
        <v>865-0058</v>
      </c>
      <c r="E322" s="2" t="s">
        <v>330</v>
      </c>
      <c r="F322" s="2" t="str">
        <f>"0968828645    "</f>
        <v xml:space="preserve">0968828645    </v>
      </c>
      <c r="G322" s="2" t="str">
        <f>"医療法人　碧生会"</f>
        <v>医療法人　碧生会</v>
      </c>
      <c r="H322" s="2" t="str">
        <f>"R03.12.01"</f>
        <v>R03.12.01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</row>
    <row r="323" spans="2:15" x14ac:dyDescent="0.2">
      <c r="B323" s="2" t="str">
        <f t="shared" si="11"/>
        <v>有明</v>
      </c>
      <c r="C323" s="2" t="str">
        <f>"ふくしま歯科クリニック"</f>
        <v>ふくしま歯科クリニック</v>
      </c>
      <c r="D323" s="2" t="str">
        <f>"864-0051"</f>
        <v>864-0051</v>
      </c>
      <c r="E323" s="2" t="s">
        <v>331</v>
      </c>
      <c r="F323" s="2" t="str">
        <f>"0968621472    "</f>
        <v xml:space="preserve">0968621472    </v>
      </c>
      <c r="G323" s="2" t="str">
        <f>"福嶋　亮二"</f>
        <v>福嶋　亮二</v>
      </c>
      <c r="H323" s="2" t="str">
        <f>"R04.03.18"</f>
        <v>R04.03.18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</row>
    <row r="324" spans="2:15" x14ac:dyDescent="0.2">
      <c r="B324" s="2" t="str">
        <f t="shared" si="11"/>
        <v>有明</v>
      </c>
      <c r="C324" s="2" t="str">
        <f>"山瀬歯科医院"</f>
        <v>山瀬歯科医院</v>
      </c>
      <c r="D324" s="2" t="str">
        <f>"865-0025"</f>
        <v>865-0025</v>
      </c>
      <c r="E324" s="2" t="s">
        <v>332</v>
      </c>
      <c r="F324" s="2" t="str">
        <f>"0968723056    "</f>
        <v xml:space="preserve">0968723056    </v>
      </c>
      <c r="G324" s="2" t="str">
        <f>"山瀬　秀能"</f>
        <v>山瀬　秀能</v>
      </c>
      <c r="H324" s="2" t="str">
        <f>"R04.03.01"</f>
        <v>R04.03.01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</row>
    <row r="325" spans="2:15" x14ac:dyDescent="0.2">
      <c r="B325" s="2" t="str">
        <f t="shared" si="11"/>
        <v>有明</v>
      </c>
      <c r="C325" s="2" t="str">
        <f>"わかばデンタルクリニック"</f>
        <v>わかばデンタルクリニック</v>
      </c>
      <c r="D325" s="2" t="str">
        <f>"865-0022"</f>
        <v>865-0022</v>
      </c>
      <c r="E325" s="2" t="s">
        <v>333</v>
      </c>
      <c r="F325" s="2" t="str">
        <f>"0968766677    "</f>
        <v xml:space="preserve">0968766677    </v>
      </c>
      <c r="G325" s="2" t="str">
        <f>"医療法人　こもれび"</f>
        <v>医療法人　こもれび</v>
      </c>
      <c r="H325" s="2" t="str">
        <f>"R04.10.01"</f>
        <v>R04.10.01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</row>
    <row r="326" spans="2:15" x14ac:dyDescent="0.2">
      <c r="B326" s="2" t="str">
        <f t="shared" si="11"/>
        <v>有明</v>
      </c>
      <c r="C326" s="2" t="str">
        <f>"ありあけ歯科クリニック"</f>
        <v>ありあけ歯科クリニック</v>
      </c>
      <c r="D326" s="2" t="str">
        <f>"861-5403"</f>
        <v>861-5403</v>
      </c>
      <c r="E326" s="2" t="s">
        <v>334</v>
      </c>
      <c r="F326" s="2" t="str">
        <f>"0968880775    "</f>
        <v xml:space="preserve">0968880775    </v>
      </c>
      <c r="G326" s="2" t="str">
        <f>"西村　宗一郎"</f>
        <v>西村　宗一郎</v>
      </c>
      <c r="H326" s="2" t="str">
        <f>"R05.05.15"</f>
        <v>R05.05.15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</row>
    <row r="327" spans="2:15" x14ac:dyDescent="0.2">
      <c r="B327" s="2" t="str">
        <f t="shared" si="11"/>
        <v>有明</v>
      </c>
      <c r="C327" s="2" t="str">
        <f>"坂口おとなこども歯科"</f>
        <v>坂口おとなこども歯科</v>
      </c>
      <c r="D327" s="2" t="str">
        <f>"865-0064"</f>
        <v>865-0064</v>
      </c>
      <c r="E327" s="2" t="s">
        <v>335</v>
      </c>
      <c r="F327" s="2" t="str">
        <f>"0968737157    "</f>
        <v xml:space="preserve">0968737157    </v>
      </c>
      <c r="G327" s="2" t="str">
        <f>"医療法人坂口会"</f>
        <v>医療法人坂口会</v>
      </c>
      <c r="H327" s="2" t="str">
        <f>"R06.03.01"</f>
        <v>R06.03.01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</row>
    <row r="328" spans="2:15" x14ac:dyDescent="0.2">
      <c r="B328" s="2" t="str">
        <f t="shared" si="11"/>
        <v>有明</v>
      </c>
      <c r="C328" s="2" t="str">
        <f>"坂口スマイルラボ"</f>
        <v>坂口スマイルラボ</v>
      </c>
      <c r="D328" s="2" t="str">
        <f>"865-0064"</f>
        <v>865-0064</v>
      </c>
      <c r="E328" s="2" t="s">
        <v>336</v>
      </c>
      <c r="F328" s="2" t="str">
        <f>"0968737157    "</f>
        <v xml:space="preserve">0968737157    </v>
      </c>
      <c r="G328" s="2" t="str">
        <f>"医療法人坂口会"</f>
        <v>医療法人坂口会</v>
      </c>
      <c r="H328" s="2" t="str">
        <f>"R08.04.01"</f>
        <v>R08.04.01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</row>
    <row r="329" spans="2:15" x14ac:dyDescent="0.2">
      <c r="B329" s="2" t="str">
        <f t="shared" ref="B329:B371" si="12">"宇城"</f>
        <v>宇城</v>
      </c>
      <c r="C329" s="2" t="str">
        <f>"浦田歯科医院"</f>
        <v>浦田歯科医院</v>
      </c>
      <c r="D329" s="2" t="str">
        <f>"869-0434"</f>
        <v>869-0434</v>
      </c>
      <c r="E329" s="2" t="s">
        <v>337</v>
      </c>
      <c r="F329" s="2" t="str">
        <f>"0964230711    "</f>
        <v xml:space="preserve">0964230711    </v>
      </c>
      <c r="G329" s="2" t="str">
        <f>"浦田　健二"</f>
        <v>浦田　健二</v>
      </c>
      <c r="H329" s="2" t="str">
        <f>"S62.07.18"</f>
        <v>S62.07.18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</row>
    <row r="330" spans="2:15" x14ac:dyDescent="0.2">
      <c r="B330" s="2" t="str">
        <f t="shared" si="12"/>
        <v>宇城</v>
      </c>
      <c r="C330" s="2" t="str">
        <f>"中村歯科医院"</f>
        <v>中村歯科医院</v>
      </c>
      <c r="D330" s="2" t="str">
        <f>"869-0432"</f>
        <v>869-0432</v>
      </c>
      <c r="E330" s="2" t="s">
        <v>338</v>
      </c>
      <c r="F330" s="2" t="str">
        <f>"0964233721    "</f>
        <v xml:space="preserve">0964233721    </v>
      </c>
      <c r="G330" s="2" t="str">
        <f>"中村　進"</f>
        <v>中村　進</v>
      </c>
      <c r="H330" s="2" t="str">
        <f>"S57.04.21"</f>
        <v>S57.04.21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</row>
    <row r="331" spans="2:15" x14ac:dyDescent="0.2">
      <c r="B331" s="2" t="str">
        <f t="shared" si="12"/>
        <v>宇城</v>
      </c>
      <c r="C331" s="2" t="str">
        <f>"平冨歯科"</f>
        <v>平冨歯科</v>
      </c>
      <c r="D331" s="2" t="str">
        <f>"869-0461"</f>
        <v>869-0461</v>
      </c>
      <c r="E331" s="2" t="s">
        <v>339</v>
      </c>
      <c r="F331" s="2" t="str">
        <f>"0964250918    "</f>
        <v xml:space="preserve">0964250918    </v>
      </c>
      <c r="G331" s="2" t="str">
        <f>"平冨　欽哉"</f>
        <v>平冨　欽哉</v>
      </c>
      <c r="H331" s="2" t="str">
        <f>"H04.01.16"</f>
        <v>H04.01.16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</row>
    <row r="332" spans="2:15" x14ac:dyDescent="0.2">
      <c r="B332" s="2" t="str">
        <f t="shared" si="12"/>
        <v>宇城</v>
      </c>
      <c r="C332" s="2" t="str">
        <f>"松本歯科医院"</f>
        <v>松本歯科医院</v>
      </c>
      <c r="D332" s="2" t="str">
        <f>"869-0431"</f>
        <v>869-0431</v>
      </c>
      <c r="E332" s="2" t="s">
        <v>340</v>
      </c>
      <c r="F332" s="2" t="str">
        <f>"0964220275    "</f>
        <v xml:space="preserve">0964220275    </v>
      </c>
      <c r="G332" s="2" t="str">
        <f>"松本　文隆"</f>
        <v>松本　文隆</v>
      </c>
      <c r="H332" s="2" t="str">
        <f>"H06.08.01"</f>
        <v>H06.08.01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</row>
    <row r="333" spans="2:15" x14ac:dyDescent="0.2">
      <c r="B333" s="2" t="str">
        <f t="shared" si="12"/>
        <v>宇城</v>
      </c>
      <c r="C333" s="2" t="str">
        <f>"村上歯科医院"</f>
        <v>村上歯科医院</v>
      </c>
      <c r="D333" s="2" t="str">
        <f>"869-0453"</f>
        <v>869-0453</v>
      </c>
      <c r="E333" s="2" t="s">
        <v>341</v>
      </c>
      <c r="F333" s="2" t="str">
        <f>"0964233639    "</f>
        <v xml:space="preserve">0964233639    </v>
      </c>
      <c r="G333" s="2" t="str">
        <f>"村上　常道"</f>
        <v>村上　常道</v>
      </c>
      <c r="H333" s="2" t="str">
        <f>"S58.03.01"</f>
        <v>S58.03.01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</row>
    <row r="334" spans="2:15" x14ac:dyDescent="0.2">
      <c r="B334" s="2" t="str">
        <f t="shared" si="12"/>
        <v>宇城</v>
      </c>
      <c r="C334" s="2" t="str">
        <f>"八木歯科医院"</f>
        <v>八木歯科医院</v>
      </c>
      <c r="D334" s="2" t="str">
        <f>"869-0452"</f>
        <v>869-0452</v>
      </c>
      <c r="E334" s="2" t="s">
        <v>342</v>
      </c>
      <c r="F334" s="2" t="str">
        <f>"0964224182    "</f>
        <v xml:space="preserve">0964224182    </v>
      </c>
      <c r="G334" s="2" t="str">
        <f>"医療法人社団　博祐会"</f>
        <v>医療法人社団　博祐会</v>
      </c>
      <c r="H334" s="2" t="str">
        <f>"H09.12.01"</f>
        <v>H09.12.01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</row>
    <row r="335" spans="2:15" x14ac:dyDescent="0.2">
      <c r="B335" s="2" t="str">
        <f t="shared" si="12"/>
        <v>宇城</v>
      </c>
      <c r="C335" s="2" t="str">
        <f>"なかの歯科医院"</f>
        <v>なかの歯科医院</v>
      </c>
      <c r="D335" s="2" t="str">
        <f>"869-3207"</f>
        <v>869-3207</v>
      </c>
      <c r="E335" s="2" t="s">
        <v>343</v>
      </c>
      <c r="F335" s="2" t="str">
        <f>"0964530660    "</f>
        <v xml:space="preserve">0964530660    </v>
      </c>
      <c r="G335" s="2" t="str">
        <f>"中野　貴夫"</f>
        <v>中野　貴夫</v>
      </c>
      <c r="H335" s="2" t="str">
        <f>"H16.03.13"</f>
        <v>H16.03.13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</row>
    <row r="336" spans="2:15" x14ac:dyDescent="0.2">
      <c r="B336" s="2" t="str">
        <f t="shared" si="12"/>
        <v>宇城</v>
      </c>
      <c r="C336" s="2" t="str">
        <f>"杉村歯科"</f>
        <v>杉村歯科</v>
      </c>
      <c r="D336" s="2" t="str">
        <f>"869-0552"</f>
        <v>869-0552</v>
      </c>
      <c r="E336" s="2" t="s">
        <v>344</v>
      </c>
      <c r="F336" s="2" t="str">
        <f>"0964325010    "</f>
        <v xml:space="preserve">0964325010    </v>
      </c>
      <c r="G336" s="2" t="str">
        <f>"杉村　勇"</f>
        <v>杉村　勇</v>
      </c>
      <c r="H336" s="2" t="str">
        <f>"H11.06.14"</f>
        <v>H11.06.14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</row>
    <row r="337" spans="2:15" x14ac:dyDescent="0.2">
      <c r="B337" s="2" t="str">
        <f t="shared" si="12"/>
        <v>宇城</v>
      </c>
      <c r="C337" s="2" t="str">
        <f>"大久保歯科クリニック"</f>
        <v>大久保歯科クリニック</v>
      </c>
      <c r="D337" s="2" t="str">
        <f>"869-0524"</f>
        <v>869-0524</v>
      </c>
      <c r="E337" s="2" t="s">
        <v>345</v>
      </c>
      <c r="F337" s="2" t="str">
        <f>"0964335226    "</f>
        <v xml:space="preserve">0964335226    </v>
      </c>
      <c r="G337" s="2" t="str">
        <f>"大久保　和之"</f>
        <v>大久保　和之</v>
      </c>
      <c r="H337" s="2" t="str">
        <f>"S60.06.26"</f>
        <v>S60.06.26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</row>
    <row r="338" spans="2:15" x14ac:dyDescent="0.2">
      <c r="B338" s="2" t="str">
        <f t="shared" si="12"/>
        <v>宇城</v>
      </c>
      <c r="C338" s="2" t="str">
        <f>"緒方歯科医院"</f>
        <v>緒方歯科医院</v>
      </c>
      <c r="D338" s="2" t="str">
        <f>"869-0502"</f>
        <v>869-0502</v>
      </c>
      <c r="E338" s="2" t="s">
        <v>346</v>
      </c>
      <c r="F338" s="2" t="str">
        <f>"0964320127    "</f>
        <v xml:space="preserve">0964320127    </v>
      </c>
      <c r="G338" s="2" t="str">
        <f>"緒方　博之"</f>
        <v>緒方　博之</v>
      </c>
      <c r="H338" s="2" t="str">
        <f>"H08.09.24"</f>
        <v>H08.09.24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</row>
    <row r="339" spans="2:15" x14ac:dyDescent="0.2">
      <c r="B339" s="2" t="str">
        <f t="shared" si="12"/>
        <v>宇城</v>
      </c>
      <c r="C339" s="2" t="str">
        <f>"かねこ歯科クリニック"</f>
        <v>かねこ歯科クリニック</v>
      </c>
      <c r="D339" s="2" t="str">
        <f>"869-0531"</f>
        <v>869-0531</v>
      </c>
      <c r="E339" s="2" t="s">
        <v>347</v>
      </c>
      <c r="F339" s="2" t="str">
        <f>"0964252518    "</f>
        <v xml:space="preserve">0964252518    </v>
      </c>
      <c r="G339" s="2" t="str">
        <f>"兼子　賢之"</f>
        <v>兼子　賢之</v>
      </c>
      <c r="H339" s="2" t="str">
        <f>"H15.04.11"</f>
        <v>H15.04.11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</row>
    <row r="340" spans="2:15" x14ac:dyDescent="0.2">
      <c r="B340" s="2" t="str">
        <f t="shared" si="12"/>
        <v>宇城</v>
      </c>
      <c r="C340" s="2" t="str">
        <f>"河合歯科医院"</f>
        <v>河合歯科医院</v>
      </c>
      <c r="D340" s="2" t="str">
        <f>"869-0543"</f>
        <v>869-0543</v>
      </c>
      <c r="E340" s="2" t="s">
        <v>348</v>
      </c>
      <c r="F340" s="2" t="str">
        <f>"0964335353    "</f>
        <v xml:space="preserve">0964335353    </v>
      </c>
      <c r="G340" s="2" t="str">
        <f>"河合　隆一"</f>
        <v>河合　隆一</v>
      </c>
      <c r="H340" s="2" t="str">
        <f>"S61.07.09"</f>
        <v>S61.07.09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</row>
    <row r="341" spans="2:15" x14ac:dyDescent="0.2">
      <c r="B341" s="2" t="str">
        <f t="shared" si="12"/>
        <v>宇城</v>
      </c>
      <c r="C341" s="2" t="str">
        <f>"丸田歯科医院"</f>
        <v>丸田歯科医院</v>
      </c>
      <c r="D341" s="2" t="str">
        <f>"869-0531"</f>
        <v>869-0531</v>
      </c>
      <c r="E341" s="2" t="s">
        <v>349</v>
      </c>
      <c r="F341" s="2" t="str">
        <f>"0964336400    "</f>
        <v xml:space="preserve">0964336400    </v>
      </c>
      <c r="G341" s="2" t="str">
        <f>"丸田　兼文"</f>
        <v>丸田　兼文</v>
      </c>
      <c r="H341" s="2" t="str">
        <f>"H09.07.23"</f>
        <v>H09.07.23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</row>
    <row r="342" spans="2:15" x14ac:dyDescent="0.2">
      <c r="B342" s="2" t="str">
        <f t="shared" si="12"/>
        <v>宇城</v>
      </c>
      <c r="C342" s="2" t="str">
        <f>"右山歯科クリニック"</f>
        <v>右山歯科クリニック</v>
      </c>
      <c r="D342" s="2" t="str">
        <f>"869-0511"</f>
        <v>869-0511</v>
      </c>
      <c r="E342" s="2" t="s">
        <v>350</v>
      </c>
      <c r="F342" s="2" t="str">
        <f>"0964320313    "</f>
        <v xml:space="preserve">0964320313    </v>
      </c>
      <c r="G342" s="2" t="str">
        <f>"右山　裕則"</f>
        <v>右山　裕則</v>
      </c>
      <c r="H342" s="2" t="str">
        <f>"H15.04.09"</f>
        <v>H15.04.09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</row>
    <row r="343" spans="2:15" x14ac:dyDescent="0.2">
      <c r="B343" s="2" t="str">
        <f t="shared" si="12"/>
        <v>宇城</v>
      </c>
      <c r="C343" s="2" t="str">
        <f>"徳治会歯科医院宇城"</f>
        <v>徳治会歯科医院宇城</v>
      </c>
      <c r="D343" s="2" t="str">
        <f>"869-0521"</f>
        <v>869-0521</v>
      </c>
      <c r="E343" s="2" t="s">
        <v>351</v>
      </c>
      <c r="F343" s="2" t="str">
        <f>"0964325801    "</f>
        <v xml:space="preserve">0964325801    </v>
      </c>
      <c r="G343" s="2" t="str">
        <f>"医療法人社団　徳治会"</f>
        <v>医療法人社団　徳治会</v>
      </c>
      <c r="H343" s="2" t="str">
        <f>"H04.11.09"</f>
        <v>H04.11.09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</row>
    <row r="344" spans="2:15" x14ac:dyDescent="0.2">
      <c r="B344" s="2" t="str">
        <f t="shared" si="12"/>
        <v>宇城</v>
      </c>
      <c r="C344" s="2" t="str">
        <f>"ハニー歯科"</f>
        <v>ハニー歯科</v>
      </c>
      <c r="D344" s="2" t="str">
        <f>"869-0606"</f>
        <v>869-0606</v>
      </c>
      <c r="E344" s="2" t="s">
        <v>352</v>
      </c>
      <c r="F344" s="2" t="str">
        <f>"0964432020    "</f>
        <v xml:space="preserve">0964432020    </v>
      </c>
      <c r="G344" s="2" t="str">
        <f>"田染　直子"</f>
        <v>田染　直子</v>
      </c>
      <c r="H344" s="2" t="str">
        <f>"H10.04.30"</f>
        <v>H10.04.30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</row>
    <row r="345" spans="2:15" x14ac:dyDescent="0.2">
      <c r="B345" s="2" t="str">
        <f t="shared" si="12"/>
        <v>宇城</v>
      </c>
      <c r="C345" s="2" t="str">
        <f>"ひがしだ歯科医院"</f>
        <v>ひがしだ歯科医院</v>
      </c>
      <c r="D345" s="2" t="str">
        <f>"869-0604"</f>
        <v>869-0604</v>
      </c>
      <c r="E345" s="2" t="s">
        <v>353</v>
      </c>
      <c r="F345" s="2" t="str">
        <f>"0964346111    "</f>
        <v xml:space="preserve">0964346111    </v>
      </c>
      <c r="G345" s="2" t="str">
        <f>"東田　英典"</f>
        <v>東田　英典</v>
      </c>
      <c r="H345" s="2" t="str">
        <f>"H09.01.20"</f>
        <v>H09.01.20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</row>
    <row r="346" spans="2:15" x14ac:dyDescent="0.2">
      <c r="B346" s="2" t="str">
        <f t="shared" si="12"/>
        <v>宇城</v>
      </c>
      <c r="C346" s="2" t="str">
        <f>"前崎歯科医院"</f>
        <v>前崎歯科医院</v>
      </c>
      <c r="D346" s="2" t="str">
        <f>"869-0624"</f>
        <v>869-0624</v>
      </c>
      <c r="E346" s="2" t="s">
        <v>354</v>
      </c>
      <c r="F346" s="2" t="str">
        <f>"0964431655    "</f>
        <v xml:space="preserve">0964431655    </v>
      </c>
      <c r="G346" s="2" t="str">
        <f>"前崎　正"</f>
        <v>前崎　正</v>
      </c>
      <c r="H346" s="2" t="str">
        <f>"H03.06.01"</f>
        <v>H03.06.01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</row>
    <row r="347" spans="2:15" x14ac:dyDescent="0.2">
      <c r="B347" s="2" t="str">
        <f t="shared" si="12"/>
        <v>宇城</v>
      </c>
      <c r="C347" s="2" t="str">
        <f>"山崎歯科医院"</f>
        <v>山崎歯科医院</v>
      </c>
      <c r="D347" s="2" t="str">
        <f>"869-0632"</f>
        <v>869-0632</v>
      </c>
      <c r="E347" s="2" t="s">
        <v>355</v>
      </c>
      <c r="F347" s="2" t="str">
        <f>"0964434333    "</f>
        <v xml:space="preserve">0964434333    </v>
      </c>
      <c r="G347" s="2" t="str">
        <f>"医療法人社団　山崎歯科医院"</f>
        <v>医療法人社団　山崎歯科医院</v>
      </c>
      <c r="H347" s="2" t="str">
        <f>"H01.12.01"</f>
        <v>H01.12.01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</row>
    <row r="348" spans="2:15" x14ac:dyDescent="0.2">
      <c r="B348" s="2" t="str">
        <f t="shared" si="12"/>
        <v>宇城</v>
      </c>
      <c r="C348" s="2" t="str">
        <f>"とよだ歯科医院"</f>
        <v>とよだ歯科医院</v>
      </c>
      <c r="D348" s="2" t="str">
        <f>"861-4307"</f>
        <v>861-4307</v>
      </c>
      <c r="E348" s="2" t="s">
        <v>356</v>
      </c>
      <c r="F348" s="2" t="str">
        <f>"0964453344    "</f>
        <v xml:space="preserve">0964453344    </v>
      </c>
      <c r="G348" s="2" t="str">
        <f>"豊田　経学"</f>
        <v>豊田　経学</v>
      </c>
      <c r="H348" s="2" t="str">
        <f>"H13.10.25"</f>
        <v>H13.10.25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</row>
    <row r="349" spans="2:15" x14ac:dyDescent="0.2">
      <c r="B349" s="2" t="str">
        <f t="shared" si="12"/>
        <v>宇城</v>
      </c>
      <c r="C349" s="2" t="str">
        <f>"もとまつ歯科クリニック"</f>
        <v>もとまつ歯科クリニック</v>
      </c>
      <c r="D349" s="2" t="str">
        <f>"861-4307"</f>
        <v>861-4307</v>
      </c>
      <c r="E349" s="2" t="s">
        <v>357</v>
      </c>
      <c r="F349" s="2" t="str">
        <f>"0964453310    "</f>
        <v xml:space="preserve">0964453310    </v>
      </c>
      <c r="G349" s="2" t="str">
        <f>"本松　哲太郎"</f>
        <v>本松　哲太郎</v>
      </c>
      <c r="H349" s="2" t="str">
        <f>"H12.04.24"</f>
        <v>H12.04.24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</row>
    <row r="350" spans="2:15" x14ac:dyDescent="0.2">
      <c r="B350" s="2" t="str">
        <f t="shared" si="12"/>
        <v>宇城</v>
      </c>
      <c r="C350" s="2" t="str">
        <f>"渡辺歯科医院"</f>
        <v>渡辺歯科医院</v>
      </c>
      <c r="D350" s="2" t="str">
        <f>"861-4405"</f>
        <v>861-4405</v>
      </c>
      <c r="E350" s="2" t="s">
        <v>358</v>
      </c>
      <c r="F350" s="2" t="str">
        <f>"0964462627    "</f>
        <v xml:space="preserve">0964462627    </v>
      </c>
      <c r="G350" s="2" t="str">
        <f>"医療法人社団　渡辺歯科医院"</f>
        <v>医療法人社団　渡辺歯科医院</v>
      </c>
      <c r="H350" s="2" t="str">
        <f>"H02.11.01"</f>
        <v>H02.11.01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</row>
    <row r="351" spans="2:15" x14ac:dyDescent="0.2">
      <c r="B351" s="2" t="str">
        <f t="shared" si="12"/>
        <v>宇城</v>
      </c>
      <c r="C351" s="2" t="str">
        <f>"南部歯科医院"</f>
        <v>南部歯科医院</v>
      </c>
      <c r="D351" s="2" t="str">
        <f>"861-4753"</f>
        <v>861-4753</v>
      </c>
      <c r="E351" s="2" t="s">
        <v>359</v>
      </c>
      <c r="F351" s="2" t="str">
        <f>"0964472110    "</f>
        <v xml:space="preserve">0964472110    </v>
      </c>
      <c r="G351" s="2" t="str">
        <f>"谷口　正純"</f>
        <v>谷口　正純</v>
      </c>
      <c r="H351" s="2" t="str">
        <f>"H14.12.01"</f>
        <v>H14.12.01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</row>
    <row r="352" spans="2:15" x14ac:dyDescent="0.2">
      <c r="B352" s="2" t="str">
        <f t="shared" si="12"/>
        <v>宇城</v>
      </c>
      <c r="C352" s="2" t="str">
        <f>"宮崎歯科医院"</f>
        <v>宮崎歯科医院</v>
      </c>
      <c r="D352" s="2" t="str">
        <f>"861-4722"</f>
        <v>861-4722</v>
      </c>
      <c r="E352" s="2" t="s">
        <v>360</v>
      </c>
      <c r="F352" s="2" t="str">
        <f>"0964470300    "</f>
        <v xml:space="preserve">0964470300    </v>
      </c>
      <c r="G352" s="2" t="str">
        <f>"宮崎　幸一"</f>
        <v>宮崎　幸一</v>
      </c>
      <c r="H352" s="2" t="str">
        <f>"H04.09.01"</f>
        <v>H04.09.01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</row>
    <row r="353" spans="2:15" x14ac:dyDescent="0.2">
      <c r="B353" s="2" t="str">
        <f t="shared" si="12"/>
        <v>宇城</v>
      </c>
      <c r="C353" s="2" t="str">
        <f>"立山歯科医院"</f>
        <v>立山歯科医院</v>
      </c>
      <c r="D353" s="2" t="str">
        <f>"869-3205"</f>
        <v>869-3205</v>
      </c>
      <c r="E353" s="2" t="s">
        <v>361</v>
      </c>
      <c r="F353" s="2" t="str">
        <f>"0964522133    "</f>
        <v xml:space="preserve">0964522133    </v>
      </c>
      <c r="G353" s="2" t="str">
        <f>"立山　徹也"</f>
        <v>立山　徹也</v>
      </c>
      <c r="H353" s="2" t="str">
        <f>"H18.06.03"</f>
        <v>H18.06.03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</row>
    <row r="354" spans="2:15" x14ac:dyDescent="0.2">
      <c r="B354" s="2" t="str">
        <f t="shared" si="12"/>
        <v>宇城</v>
      </c>
      <c r="C354" s="2" t="str">
        <f>"おうだ歯科医院"</f>
        <v>おうだ歯科医院</v>
      </c>
      <c r="D354" s="2" t="str">
        <f>"869-0400"</f>
        <v>869-0400</v>
      </c>
      <c r="E354" s="2" t="s">
        <v>362</v>
      </c>
      <c r="F354" s="2" t="str">
        <f>"0964271230    "</f>
        <v xml:space="preserve">0964271230    </v>
      </c>
      <c r="G354" s="2" t="str">
        <f>"宇野　哲也"</f>
        <v>宇野　哲也</v>
      </c>
      <c r="H354" s="2" t="str">
        <f>"H19.11.19"</f>
        <v>H19.11.19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</row>
    <row r="355" spans="2:15" x14ac:dyDescent="0.2">
      <c r="B355" s="2" t="str">
        <f t="shared" si="12"/>
        <v>宇城</v>
      </c>
      <c r="C355" s="2" t="str">
        <f>"久保田歯科医院"</f>
        <v>久保田歯科医院</v>
      </c>
      <c r="D355" s="2" t="str">
        <f>"869-0421"</f>
        <v>869-0421</v>
      </c>
      <c r="E355" s="2" t="s">
        <v>363</v>
      </c>
      <c r="F355" s="2" t="str">
        <f>"0964232830    "</f>
        <v xml:space="preserve">0964232830    </v>
      </c>
      <c r="G355" s="2" t="str">
        <f>"医療法人　久保田歯科"</f>
        <v>医療法人　久保田歯科</v>
      </c>
      <c r="H355" s="2" t="str">
        <f>"H20.11.01"</f>
        <v>H20.11.01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</row>
    <row r="356" spans="2:15" x14ac:dyDescent="0.2">
      <c r="B356" s="2" t="str">
        <f t="shared" si="12"/>
        <v>宇城</v>
      </c>
      <c r="C356" s="2" t="str">
        <f>"熊本パール総合歯科・矯正歯科・こども歯科クリニック宇土院"</f>
        <v>熊本パール総合歯科・矯正歯科・こども歯科クリニック宇土院</v>
      </c>
      <c r="D356" s="2" t="str">
        <f>"869-0452"</f>
        <v>869-0452</v>
      </c>
      <c r="E356" s="2" t="s">
        <v>364</v>
      </c>
      <c r="F356" s="2" t="str">
        <f>"0964539898    "</f>
        <v xml:space="preserve">0964539898    </v>
      </c>
      <c r="G356" s="2" t="str">
        <f>"医療法人社団　エステティックライン"</f>
        <v>医療法人社団　エステティックライン</v>
      </c>
      <c r="H356" s="2" t="str">
        <f>"H21.10.14"</f>
        <v>H21.10.14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</row>
    <row r="357" spans="2:15" x14ac:dyDescent="0.2">
      <c r="B357" s="2" t="str">
        <f t="shared" si="12"/>
        <v>宇城</v>
      </c>
      <c r="C357" s="2" t="str">
        <f>"不知火歯科医院"</f>
        <v>不知火歯科医院</v>
      </c>
      <c r="D357" s="2" t="str">
        <f>"869-3471"</f>
        <v>869-3471</v>
      </c>
      <c r="E357" s="2" t="s">
        <v>365</v>
      </c>
      <c r="F357" s="2" t="str">
        <f>"0964423406    "</f>
        <v xml:space="preserve">0964423406    </v>
      </c>
      <c r="G357" s="2" t="str">
        <f>"渋田　美喜男"</f>
        <v>渋田　美喜男</v>
      </c>
      <c r="H357" s="2" t="str">
        <f>"H22.03.01"</f>
        <v>H22.03.01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</row>
    <row r="358" spans="2:15" x14ac:dyDescent="0.2">
      <c r="B358" s="2" t="str">
        <f t="shared" si="12"/>
        <v>宇城</v>
      </c>
      <c r="C358" s="2" t="str">
        <f>"きららデンタルクリニック"</f>
        <v>きららデンタルクリニック</v>
      </c>
      <c r="D358" s="2" t="str">
        <f>"869-0503"</f>
        <v>869-0503</v>
      </c>
      <c r="E358" s="2" t="s">
        <v>366</v>
      </c>
      <c r="F358" s="2" t="str">
        <f>"0964310099    "</f>
        <v xml:space="preserve">0964310099    </v>
      </c>
      <c r="G358" s="2" t="str">
        <f>"原田　雅史"</f>
        <v>原田　雅史</v>
      </c>
      <c r="H358" s="2" t="str">
        <f>"H24.04.13"</f>
        <v>H24.04.13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</row>
    <row r="359" spans="2:15" x14ac:dyDescent="0.2">
      <c r="B359" s="2" t="str">
        <f t="shared" si="12"/>
        <v>宇城</v>
      </c>
      <c r="C359" s="2" t="str">
        <f>"近藤歯科　矯正歯科"</f>
        <v>近藤歯科　矯正歯科</v>
      </c>
      <c r="D359" s="2" t="str">
        <f>"869-0418"</f>
        <v>869-0418</v>
      </c>
      <c r="E359" s="2" t="s">
        <v>367</v>
      </c>
      <c r="F359" s="2" t="str">
        <f>"0964539038    "</f>
        <v xml:space="preserve">0964539038    </v>
      </c>
      <c r="G359" s="2" t="str">
        <f>"近藤　俊輔"</f>
        <v>近藤　俊輔</v>
      </c>
      <c r="H359" s="2" t="str">
        <f>"H24.05.11"</f>
        <v>H24.05.11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</row>
    <row r="360" spans="2:15" x14ac:dyDescent="0.2">
      <c r="B360" s="2" t="str">
        <f t="shared" si="12"/>
        <v>宇城</v>
      </c>
      <c r="C360" s="2" t="str">
        <f>"みすみ歯科クリニック"</f>
        <v>みすみ歯科クリニック</v>
      </c>
      <c r="D360" s="2" t="str">
        <f>"869-3204"</f>
        <v>869-3204</v>
      </c>
      <c r="E360" s="2" t="s">
        <v>368</v>
      </c>
      <c r="F360" s="2" t="str">
        <f>"0964342001    "</f>
        <v xml:space="preserve">0964342001    </v>
      </c>
      <c r="G360" s="2" t="str">
        <f>"医療法人　美洋会"</f>
        <v>医療法人　美洋会</v>
      </c>
      <c r="H360" s="2" t="str">
        <f>"H25.01.01"</f>
        <v>H25.01.01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</row>
    <row r="361" spans="2:15" x14ac:dyDescent="0.2">
      <c r="B361" s="2" t="str">
        <f t="shared" si="12"/>
        <v>宇城</v>
      </c>
      <c r="C361" s="2" t="str">
        <f>"すぎもと歯科"</f>
        <v>すぎもと歯科</v>
      </c>
      <c r="D361" s="2" t="str">
        <f>"869-0412"</f>
        <v>869-0412</v>
      </c>
      <c r="E361" s="2" t="s">
        <v>369</v>
      </c>
      <c r="F361" s="2" t="str">
        <f>"0964225432    "</f>
        <v xml:space="preserve">0964225432    </v>
      </c>
      <c r="G361" s="2" t="str">
        <f>"医療法人　永裕会"</f>
        <v>医療法人　永裕会</v>
      </c>
      <c r="H361" s="2" t="str">
        <f>"H27.04.01"</f>
        <v>H27.04.01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</row>
    <row r="362" spans="2:15" x14ac:dyDescent="0.2">
      <c r="B362" s="2" t="str">
        <f t="shared" si="12"/>
        <v>宇城</v>
      </c>
      <c r="C362" s="2" t="str">
        <f>"カワカミ歯科診療所"</f>
        <v>カワカミ歯科診療所</v>
      </c>
      <c r="D362" s="2" t="str">
        <f>"861-4407"</f>
        <v>861-4407</v>
      </c>
      <c r="E362" s="2" t="s">
        <v>370</v>
      </c>
      <c r="F362" s="2" t="str">
        <f>"0964464488    "</f>
        <v xml:space="preserve">0964464488    </v>
      </c>
      <c r="G362" s="2" t="str">
        <f>"川上　剛司"</f>
        <v>川上　剛司</v>
      </c>
      <c r="H362" s="2" t="str">
        <f>"H29.08.16"</f>
        <v>H29.08.16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</row>
    <row r="363" spans="2:15" x14ac:dyDescent="0.2">
      <c r="B363" s="2" t="str">
        <f t="shared" si="12"/>
        <v>宇城</v>
      </c>
      <c r="C363" s="2" t="str">
        <f>"西山歯科医院"</f>
        <v>西山歯科医院</v>
      </c>
      <c r="D363" s="2" t="str">
        <f>"869-0624"</f>
        <v>869-0624</v>
      </c>
      <c r="E363" s="2" t="s">
        <v>371</v>
      </c>
      <c r="F363" s="2" t="str">
        <f>"0964432151    "</f>
        <v xml:space="preserve">0964432151    </v>
      </c>
      <c r="G363" s="2" t="str">
        <f>"西山　正之"</f>
        <v>西山　正之</v>
      </c>
      <c r="H363" s="2" t="str">
        <f>"H29.10.01"</f>
        <v>H29.10.01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</row>
    <row r="364" spans="2:15" x14ac:dyDescent="0.2">
      <c r="B364" s="2" t="str">
        <f t="shared" si="12"/>
        <v>宇城</v>
      </c>
      <c r="C364" s="2" t="str">
        <f>"森一歯科・矯正歯科医院"</f>
        <v>森一歯科・矯正歯科医院</v>
      </c>
      <c r="D364" s="2" t="str">
        <f>"869-0442"</f>
        <v>869-0442</v>
      </c>
      <c r="E364" s="2" t="s">
        <v>372</v>
      </c>
      <c r="F364" s="2" t="str">
        <f>"0964220441    "</f>
        <v xml:space="preserve">0964220441    </v>
      </c>
      <c r="G364" s="2" t="str">
        <f>"医療法人　森一会"</f>
        <v>医療法人　森一会</v>
      </c>
      <c r="H364" s="2" t="str">
        <f>"R01.10.01"</f>
        <v>R01.10.01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</row>
    <row r="365" spans="2:15" x14ac:dyDescent="0.2">
      <c r="B365" s="2" t="str">
        <f t="shared" si="12"/>
        <v>宇城</v>
      </c>
      <c r="C365" s="2" t="str">
        <f>"どひ歯科クリニック"</f>
        <v>どひ歯科クリニック</v>
      </c>
      <c r="D365" s="2" t="str">
        <f>"869-0511"</f>
        <v>869-0511</v>
      </c>
      <c r="E365" s="2" t="s">
        <v>373</v>
      </c>
      <c r="F365" s="2" t="str">
        <f>"0964332020    "</f>
        <v xml:space="preserve">0964332020    </v>
      </c>
      <c r="G365" s="2" t="str">
        <f>"土肥　信介"</f>
        <v>土肥　信介</v>
      </c>
      <c r="H365" s="2" t="str">
        <f>"R01.08.15"</f>
        <v>R01.08.15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0</v>
      </c>
    </row>
    <row r="366" spans="2:15" x14ac:dyDescent="0.2">
      <c r="B366" s="2" t="str">
        <f t="shared" si="12"/>
        <v>宇城</v>
      </c>
      <c r="C366" s="2" t="str">
        <f>"鎌田歯科クリニック"</f>
        <v>鎌田歯科クリニック</v>
      </c>
      <c r="D366" s="2" t="str">
        <f>"869-0624"</f>
        <v>869-0624</v>
      </c>
      <c r="E366" s="2" t="s">
        <v>374</v>
      </c>
      <c r="F366" s="2" t="str">
        <f>"0964275880    "</f>
        <v xml:space="preserve">0964275880    </v>
      </c>
      <c r="G366" s="2" t="str">
        <f>"医療法人　泰誠会"</f>
        <v>医療法人　泰誠会</v>
      </c>
      <c r="H366" s="2" t="str">
        <f>"R03.10.01"</f>
        <v>R03.10.01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</row>
    <row r="367" spans="2:15" x14ac:dyDescent="0.2">
      <c r="B367" s="2" t="str">
        <f t="shared" si="12"/>
        <v>宇城</v>
      </c>
      <c r="C367" s="2" t="str">
        <f>"井上歯科診療所"</f>
        <v>井上歯科診療所</v>
      </c>
      <c r="D367" s="2" t="str">
        <f>"861-4301"</f>
        <v>861-4301</v>
      </c>
      <c r="E367" s="2" t="s">
        <v>375</v>
      </c>
      <c r="F367" s="2" t="str">
        <f>"0964429147    "</f>
        <v xml:space="preserve">0964429147    </v>
      </c>
      <c r="G367" s="2" t="str">
        <f>"井上　真美"</f>
        <v>井上　真美</v>
      </c>
      <c r="H367" s="2" t="str">
        <f>"R05.03.09"</f>
        <v>R05.03.09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</row>
    <row r="368" spans="2:15" x14ac:dyDescent="0.2">
      <c r="B368" s="2" t="str">
        <f t="shared" si="12"/>
        <v>宇城</v>
      </c>
      <c r="C368" s="2" t="str">
        <f>"みよし歯科医院"</f>
        <v>みよし歯科医院</v>
      </c>
      <c r="D368" s="2" t="str">
        <f>"869-0502"</f>
        <v>869-0502</v>
      </c>
      <c r="E368" s="2" t="s">
        <v>376</v>
      </c>
      <c r="F368" s="2" t="str">
        <f>"0964321778    "</f>
        <v xml:space="preserve">0964321778    </v>
      </c>
      <c r="G368" s="2" t="str">
        <f>"三好　優輝"</f>
        <v>三好　優輝</v>
      </c>
      <c r="H368" s="2" t="str">
        <f>"R06.05.01"</f>
        <v>R06.05.01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</row>
    <row r="369" spans="2:15" x14ac:dyDescent="0.2">
      <c r="B369" s="2" t="str">
        <f t="shared" si="12"/>
        <v>宇城</v>
      </c>
      <c r="C369" s="2" t="str">
        <f>"森歯科医院"</f>
        <v>森歯科医院</v>
      </c>
      <c r="D369" s="2" t="str">
        <f>"869-0415"</f>
        <v>869-0415</v>
      </c>
      <c r="E369" s="2" t="s">
        <v>377</v>
      </c>
      <c r="F369" s="2" t="str">
        <f>"0964235155    "</f>
        <v xml:space="preserve">0964235155    </v>
      </c>
      <c r="G369" s="2" t="str">
        <f>"森　晃宏"</f>
        <v>森　晃宏</v>
      </c>
      <c r="H369" s="2" t="str">
        <f>"R07.08.01"</f>
        <v>R07.08.01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</row>
    <row r="370" spans="2:15" x14ac:dyDescent="0.2">
      <c r="B370" s="2" t="str">
        <f t="shared" si="12"/>
        <v>宇城</v>
      </c>
      <c r="C370" s="2" t="str">
        <f>"真田歯科医院"</f>
        <v>真田歯科医院</v>
      </c>
      <c r="D370" s="2" t="str">
        <f>"869-0621"</f>
        <v>869-0621</v>
      </c>
      <c r="E370" s="2" t="s">
        <v>378</v>
      </c>
      <c r="F370" s="2" t="str">
        <f>"0964432431    "</f>
        <v xml:space="preserve">0964432431    </v>
      </c>
      <c r="G370" s="2" t="str">
        <f>"真田　大樹"</f>
        <v>真田　大樹</v>
      </c>
      <c r="H370" s="2" t="str">
        <f>"R08.01.01"</f>
        <v>R08.01.01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</row>
    <row r="371" spans="2:15" x14ac:dyDescent="0.2">
      <c r="B371" s="2" t="str">
        <f t="shared" si="12"/>
        <v>宇城</v>
      </c>
      <c r="C371" s="2" t="str">
        <f>"河野歯科医院"</f>
        <v>河野歯科医院</v>
      </c>
      <c r="D371" s="2" t="str">
        <f>"869-0502"</f>
        <v>869-0502</v>
      </c>
      <c r="E371" s="2" t="s">
        <v>379</v>
      </c>
      <c r="F371" s="2" t="str">
        <f>"0964320123    "</f>
        <v xml:space="preserve">0964320123    </v>
      </c>
      <c r="G371" s="2" t="str">
        <f>"河野　宏明"</f>
        <v>河野　宏明</v>
      </c>
      <c r="H371" s="2" t="str">
        <f>"R08.04.01"</f>
        <v>R08.04.01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</row>
    <row r="372" spans="2:15" x14ac:dyDescent="0.2">
      <c r="B372" s="2" t="str">
        <f t="shared" ref="B372:B412" si="13">"天草"</f>
        <v>天草</v>
      </c>
      <c r="C372" s="2" t="str">
        <f>"青木歯科医院"</f>
        <v>青木歯科医院</v>
      </c>
      <c r="D372" s="2" t="str">
        <f>"863-0015"</f>
        <v>863-0015</v>
      </c>
      <c r="E372" s="2" t="s">
        <v>380</v>
      </c>
      <c r="F372" s="2" t="str">
        <f>"0969234534    "</f>
        <v xml:space="preserve">0969234534    </v>
      </c>
      <c r="G372" s="2" t="str">
        <f>"青木　憲誠"</f>
        <v>青木　憲誠</v>
      </c>
      <c r="H372" s="2" t="str">
        <f>"H12.05.26"</f>
        <v>H12.05.26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</row>
    <row r="373" spans="2:15" x14ac:dyDescent="0.2">
      <c r="B373" s="2" t="str">
        <f t="shared" si="13"/>
        <v>天草</v>
      </c>
      <c r="C373" s="2" t="str">
        <f>"伊東歯科医院"</f>
        <v>伊東歯科医院</v>
      </c>
      <c r="D373" s="2" t="str">
        <f>"863-0031"</f>
        <v>863-0031</v>
      </c>
      <c r="E373" s="2" t="s">
        <v>381</v>
      </c>
      <c r="F373" s="2" t="str">
        <f>"0969231551    "</f>
        <v xml:space="preserve">0969231551    </v>
      </c>
      <c r="G373" s="2" t="str">
        <f>"伊東　宏"</f>
        <v>伊東　宏</v>
      </c>
      <c r="H373" s="2" t="str">
        <f>"S61.05.13"</f>
        <v>S61.05.13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</row>
    <row r="374" spans="2:15" x14ac:dyDescent="0.2">
      <c r="B374" s="2" t="str">
        <f t="shared" si="13"/>
        <v>天草</v>
      </c>
      <c r="C374" s="2" t="str">
        <f>"小田歯科医院"</f>
        <v>小田歯科医院</v>
      </c>
      <c r="D374" s="2" t="str">
        <f>"863-0003"</f>
        <v>863-0003</v>
      </c>
      <c r="E374" s="2" t="s">
        <v>382</v>
      </c>
      <c r="F374" s="2" t="str">
        <f>"0969237733    "</f>
        <v xml:space="preserve">0969237733    </v>
      </c>
      <c r="G374" s="2" t="str">
        <f>"小田　哲也"</f>
        <v>小田　哲也</v>
      </c>
      <c r="H374" s="2" t="str">
        <f>"S62.07.02"</f>
        <v>S62.07.02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</row>
    <row r="375" spans="2:15" x14ac:dyDescent="0.2">
      <c r="B375" s="2" t="str">
        <f t="shared" si="13"/>
        <v>天草</v>
      </c>
      <c r="C375" s="2" t="str">
        <f>"槌本歯科医院"</f>
        <v>槌本歯科医院</v>
      </c>
      <c r="D375" s="2" t="str">
        <f>"863-0023"</f>
        <v>863-0023</v>
      </c>
      <c r="E375" s="2" t="s">
        <v>383</v>
      </c>
      <c r="F375" s="2" t="str">
        <f>"0969235582    "</f>
        <v xml:space="preserve">0969235582    </v>
      </c>
      <c r="G375" s="2" t="str">
        <f>"槌本　亮二郎"</f>
        <v>槌本　亮二郎</v>
      </c>
      <c r="H375" s="2" t="str">
        <f>"H03.03.18"</f>
        <v>H03.03.18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</row>
    <row r="376" spans="2:15" x14ac:dyDescent="0.2">
      <c r="B376" s="2" t="str">
        <f t="shared" si="13"/>
        <v>天草</v>
      </c>
      <c r="C376" s="2" t="str">
        <f>"中嶋歯科医院"</f>
        <v>中嶋歯科医院</v>
      </c>
      <c r="D376" s="2" t="str">
        <f>"863-0014"</f>
        <v>863-0014</v>
      </c>
      <c r="E376" s="2" t="s">
        <v>384</v>
      </c>
      <c r="F376" s="2" t="str">
        <f>"0969243231    "</f>
        <v xml:space="preserve">0969243231    </v>
      </c>
      <c r="G376" s="2" t="str">
        <f>"医療法人社団敬仁会"</f>
        <v>医療法人社団敬仁会</v>
      </c>
      <c r="H376" s="2" t="str">
        <f>"H05.04.01"</f>
        <v>H05.04.01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</row>
    <row r="377" spans="2:15" x14ac:dyDescent="0.2">
      <c r="B377" s="2" t="str">
        <f t="shared" si="13"/>
        <v>天草</v>
      </c>
      <c r="C377" s="2" t="str">
        <f>"中村歯科医院"</f>
        <v>中村歯科医院</v>
      </c>
      <c r="D377" s="2" t="str">
        <f>"863-0031"</f>
        <v>863-0031</v>
      </c>
      <c r="E377" s="2" t="s">
        <v>385</v>
      </c>
      <c r="F377" s="2" t="str">
        <f>"0969235252    "</f>
        <v xml:space="preserve">0969235252    </v>
      </c>
      <c r="G377" s="2" t="str">
        <f>"医療法人スマイルライン"</f>
        <v>医療法人スマイルライン</v>
      </c>
      <c r="H377" s="2" t="str">
        <f>"H03.03.01"</f>
        <v>H03.03.01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</row>
    <row r="378" spans="2:15" x14ac:dyDescent="0.2">
      <c r="B378" s="2" t="str">
        <f t="shared" si="13"/>
        <v>天草</v>
      </c>
      <c r="C378" s="2" t="str">
        <f>"新田歯科医院"</f>
        <v>新田歯科医院</v>
      </c>
      <c r="D378" s="2" t="str">
        <f>"863-0043"</f>
        <v>863-0043</v>
      </c>
      <c r="E378" s="2" t="s">
        <v>386</v>
      </c>
      <c r="F378" s="2" t="str">
        <f>"0969234182    "</f>
        <v xml:space="preserve">0969234182    </v>
      </c>
      <c r="G378" s="2" t="str">
        <f>"新田　昭洋"</f>
        <v>新田　昭洋</v>
      </c>
      <c r="H378" s="2" t="str">
        <f>"H07.10.02"</f>
        <v>H07.10.02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</row>
    <row r="379" spans="2:15" x14ac:dyDescent="0.2">
      <c r="B379" s="2" t="str">
        <f t="shared" si="13"/>
        <v>天草</v>
      </c>
      <c r="C379" s="2" t="str">
        <f>"布井歯科"</f>
        <v>布井歯科</v>
      </c>
      <c r="D379" s="2" t="str">
        <f>"863-0043"</f>
        <v>863-0043</v>
      </c>
      <c r="E379" s="2" t="s">
        <v>387</v>
      </c>
      <c r="F379" s="2" t="str">
        <f>"0969223300    "</f>
        <v xml:space="preserve">0969223300    </v>
      </c>
      <c r="G379" s="2" t="str">
        <f>"医療法人社団　布井歯科"</f>
        <v>医療法人社団　布井歯科</v>
      </c>
      <c r="H379" s="2" t="str">
        <f>"H03.03.06"</f>
        <v>H03.03.06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</row>
    <row r="380" spans="2:15" x14ac:dyDescent="0.2">
      <c r="B380" s="2" t="str">
        <f t="shared" si="13"/>
        <v>天草</v>
      </c>
      <c r="C380" s="2" t="str">
        <f>"ファミリー歯科"</f>
        <v>ファミリー歯科</v>
      </c>
      <c r="D380" s="2" t="str">
        <f>"863-0014"</f>
        <v>863-0014</v>
      </c>
      <c r="E380" s="2" t="s">
        <v>388</v>
      </c>
      <c r="F380" s="2" t="str">
        <f>"0969222300    "</f>
        <v xml:space="preserve">0969222300    </v>
      </c>
      <c r="G380" s="2" t="str">
        <f>"医療法人社団潮来会"</f>
        <v>医療法人社団潮来会</v>
      </c>
      <c r="H380" s="2" t="str">
        <f>"H05.10.01"</f>
        <v>H05.10.01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</row>
    <row r="381" spans="2:15" x14ac:dyDescent="0.2">
      <c r="B381" s="2" t="str">
        <f t="shared" si="13"/>
        <v>天草</v>
      </c>
      <c r="C381" s="2" t="str">
        <f>"広瀬みのだ歯科"</f>
        <v>広瀬みのだ歯科</v>
      </c>
      <c r="D381" s="2" t="str">
        <f>"863-0002"</f>
        <v>863-0002</v>
      </c>
      <c r="E381" s="2" t="s">
        <v>389</v>
      </c>
      <c r="F381" s="2" t="str">
        <f>"0969242060    "</f>
        <v xml:space="preserve">0969242060    </v>
      </c>
      <c r="G381" s="2" t="str">
        <f>"蓑田　太司"</f>
        <v>蓑田　太司</v>
      </c>
      <c r="H381" s="2" t="str">
        <f>"H11.11.29"</f>
        <v>H11.11.29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</row>
    <row r="382" spans="2:15" x14ac:dyDescent="0.2">
      <c r="B382" s="2" t="str">
        <f t="shared" si="13"/>
        <v>天草</v>
      </c>
      <c r="C382" s="2" t="str">
        <f>"松田歯科医院"</f>
        <v>松田歯科医院</v>
      </c>
      <c r="D382" s="2" t="str">
        <f>"863-0022"</f>
        <v>863-0022</v>
      </c>
      <c r="E382" s="2" t="s">
        <v>390</v>
      </c>
      <c r="F382" s="2" t="str">
        <f>"0969222432    "</f>
        <v xml:space="preserve">0969222432    </v>
      </c>
      <c r="G382" s="2" t="str">
        <f>"医療法人社団記栄会"</f>
        <v>医療法人社団記栄会</v>
      </c>
      <c r="H382" s="2" t="str">
        <f>"H06.11.01"</f>
        <v>H06.11.01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</row>
    <row r="383" spans="2:15" x14ac:dyDescent="0.2">
      <c r="B383" s="2" t="str">
        <f t="shared" si="13"/>
        <v>天草</v>
      </c>
      <c r="C383" s="2" t="str">
        <f>"みなみ歯科医院"</f>
        <v>みなみ歯科医院</v>
      </c>
      <c r="D383" s="2" t="str">
        <f>"863-0031"</f>
        <v>863-0031</v>
      </c>
      <c r="E383" s="2" t="s">
        <v>391</v>
      </c>
      <c r="F383" s="2" t="str">
        <f>"0969225511    "</f>
        <v xml:space="preserve">0969225511    </v>
      </c>
      <c r="G383" s="2" t="str">
        <f>"松田　教裕"</f>
        <v>松田　教裕</v>
      </c>
      <c r="H383" s="2" t="str">
        <f>"S63.06.01"</f>
        <v>S63.06.01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</row>
    <row r="384" spans="2:15" x14ac:dyDescent="0.2">
      <c r="B384" s="2" t="str">
        <f t="shared" si="13"/>
        <v>天草</v>
      </c>
      <c r="C384" s="2" t="str">
        <f>"蓑田歯科医院"</f>
        <v>蓑田歯科医院</v>
      </c>
      <c r="D384" s="2" t="str">
        <f>"863-0032"</f>
        <v>863-0032</v>
      </c>
      <c r="E384" s="2" t="s">
        <v>392</v>
      </c>
      <c r="F384" s="2" t="str">
        <f>"0969241010    "</f>
        <v xml:space="preserve">0969241010    </v>
      </c>
      <c r="G384" s="2" t="str">
        <f>"蓑田　哲哉"</f>
        <v>蓑田　哲哉</v>
      </c>
      <c r="H384" s="2" t="str">
        <f>"S51.01.12"</f>
        <v>S51.01.12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</row>
    <row r="385" spans="2:15" x14ac:dyDescent="0.2">
      <c r="B385" s="2" t="str">
        <f t="shared" si="13"/>
        <v>天草</v>
      </c>
      <c r="C385" s="2" t="str">
        <f>"うらた歯科医院"</f>
        <v>うらた歯科医院</v>
      </c>
      <c r="D385" s="2" t="str">
        <f>"863-1901"</f>
        <v>863-1901</v>
      </c>
      <c r="E385" s="2" t="s">
        <v>393</v>
      </c>
      <c r="F385" s="2" t="str">
        <f>"0969722146    "</f>
        <v xml:space="preserve">0969722146    </v>
      </c>
      <c r="G385" s="2" t="str">
        <f>"浦田　琢二"</f>
        <v>浦田　琢二</v>
      </c>
      <c r="H385" s="2" t="str">
        <f>"H05.05.17"</f>
        <v>H05.05.17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</row>
    <row r="386" spans="2:15" x14ac:dyDescent="0.2">
      <c r="B386" s="2" t="str">
        <f t="shared" si="13"/>
        <v>天草</v>
      </c>
      <c r="C386" s="2" t="str">
        <f>"あまくさ歯科医院"</f>
        <v>あまくさ歯科医院</v>
      </c>
      <c r="D386" s="2" t="str">
        <f>"869-3602"</f>
        <v>869-3602</v>
      </c>
      <c r="E386" s="2" t="s">
        <v>394</v>
      </c>
      <c r="F386" s="2" t="str">
        <f>"0964574530    "</f>
        <v xml:space="preserve">0964574530    </v>
      </c>
      <c r="G386" s="2" t="str">
        <f>"直志　一世"</f>
        <v>直志　一世</v>
      </c>
      <c r="H386" s="2" t="str">
        <f>"H14.03.18"</f>
        <v>H14.03.18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</row>
    <row r="387" spans="2:15" x14ac:dyDescent="0.2">
      <c r="B387" s="2" t="str">
        <f t="shared" si="13"/>
        <v>天草</v>
      </c>
      <c r="C387" s="2" t="str">
        <f>"いさみ歯科医院"</f>
        <v>いさみ歯科医院</v>
      </c>
      <c r="D387" s="2" t="str">
        <f>"869-3603"</f>
        <v>869-3603</v>
      </c>
      <c r="E387" s="2" t="s">
        <v>395</v>
      </c>
      <c r="F387" s="2" t="str">
        <f>"0964561377    "</f>
        <v xml:space="preserve">0964561377    </v>
      </c>
      <c r="G387" s="2" t="str">
        <f>"医療法人社団いさみ歯科"</f>
        <v>医療法人社団いさみ歯科</v>
      </c>
      <c r="H387" s="2" t="str">
        <f>"H02.06.01"</f>
        <v>H02.06.01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</row>
    <row r="388" spans="2:15" x14ac:dyDescent="0.2">
      <c r="B388" s="2" t="str">
        <f t="shared" si="13"/>
        <v>天草</v>
      </c>
      <c r="C388" s="2" t="str">
        <f>"としなが歯科・矯正歯科"</f>
        <v>としなが歯科・矯正歯科</v>
      </c>
      <c r="D388" s="2" t="str">
        <f>"869-3602"</f>
        <v>869-3602</v>
      </c>
      <c r="E388" s="2" t="s">
        <v>396</v>
      </c>
      <c r="F388" s="2" t="str">
        <f>"0964563113    "</f>
        <v xml:space="preserve">0964563113    </v>
      </c>
      <c r="G388" s="2" t="str">
        <f>"医療法人モクセイ会"</f>
        <v>医療法人モクセイ会</v>
      </c>
      <c r="H388" s="2" t="str">
        <f>"H04.06.01"</f>
        <v>H04.06.01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</row>
    <row r="389" spans="2:15" x14ac:dyDescent="0.2">
      <c r="B389" s="2" t="str">
        <f t="shared" si="13"/>
        <v>天草</v>
      </c>
      <c r="C389" s="2" t="str">
        <f>"竹中歯科医院"</f>
        <v>竹中歯科医院</v>
      </c>
      <c r="D389" s="2" t="str">
        <f>"866-0102"</f>
        <v>866-0102</v>
      </c>
      <c r="E389" s="2" t="s">
        <v>397</v>
      </c>
      <c r="F389" s="2" t="str">
        <f>"0969583188    "</f>
        <v xml:space="preserve">0969583188    </v>
      </c>
      <c r="G389" s="2" t="str">
        <f>"竹中　誠也"</f>
        <v>竹中　誠也</v>
      </c>
      <c r="H389" s="2" t="str">
        <f>"H01.08.04"</f>
        <v>H01.08.04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</row>
    <row r="390" spans="2:15" x14ac:dyDescent="0.2">
      <c r="B390" s="2" t="str">
        <f t="shared" si="13"/>
        <v>天草</v>
      </c>
      <c r="C390" s="2" t="str">
        <f>"道脇歯科医院"</f>
        <v>道脇歯科医院</v>
      </c>
      <c r="D390" s="2" t="str">
        <f>"866-0203"</f>
        <v>866-0203</v>
      </c>
      <c r="E390" s="2" t="s">
        <v>398</v>
      </c>
      <c r="F390" s="2" t="str">
        <f>"0969621610    "</f>
        <v xml:space="preserve">0969621610    </v>
      </c>
      <c r="G390" s="2" t="str">
        <f>"道脇　宏治"</f>
        <v>道脇　宏治</v>
      </c>
      <c r="H390" s="2" t="str">
        <f>"H02.07.02"</f>
        <v>H02.07.02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</row>
    <row r="391" spans="2:15" x14ac:dyDescent="0.2">
      <c r="B391" s="2" t="str">
        <f t="shared" si="13"/>
        <v>天草</v>
      </c>
      <c r="C391" s="2" t="str">
        <f>"松本歯科医院"</f>
        <v>松本歯科医院</v>
      </c>
      <c r="D391" s="2" t="str">
        <f>"861-6303"</f>
        <v>861-6303</v>
      </c>
      <c r="E391" s="2" t="s">
        <v>399</v>
      </c>
      <c r="F391" s="2" t="str">
        <f>"0969663000    "</f>
        <v xml:space="preserve">0969663000    </v>
      </c>
      <c r="G391" s="2" t="str">
        <f>"松本　信久"</f>
        <v>松本　信久</v>
      </c>
      <c r="H391" s="2" t="str">
        <f>"H05.04.01"</f>
        <v>H05.04.01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</row>
    <row r="392" spans="2:15" x14ac:dyDescent="0.2">
      <c r="B392" s="2" t="str">
        <f t="shared" si="13"/>
        <v>天草</v>
      </c>
      <c r="C392" s="2" t="str">
        <f>"岡田歯科医院"</f>
        <v>岡田歯科医院</v>
      </c>
      <c r="D392" s="2" t="str">
        <f>"863-0101"</f>
        <v>863-0101</v>
      </c>
      <c r="E392" s="2" t="s">
        <v>400</v>
      </c>
      <c r="F392" s="2" t="str">
        <f>"0969463705    "</f>
        <v xml:space="preserve">0969463705    </v>
      </c>
      <c r="G392" s="2" t="str">
        <f>"岡田　理介"</f>
        <v>岡田　理介</v>
      </c>
      <c r="H392" s="2" t="str">
        <f>"S62.07.01"</f>
        <v>S62.07.01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</row>
    <row r="393" spans="2:15" x14ac:dyDescent="0.2">
      <c r="B393" s="2" t="str">
        <f t="shared" si="13"/>
        <v>天草</v>
      </c>
      <c r="C393" s="2" t="str">
        <f>"田崎歯科医院"</f>
        <v>田崎歯科医院</v>
      </c>
      <c r="D393" s="2" t="str">
        <f>"863-2201"</f>
        <v>863-2201</v>
      </c>
      <c r="E393" s="2" t="s">
        <v>401</v>
      </c>
      <c r="F393" s="2" t="str">
        <f>"0969320347    "</f>
        <v xml:space="preserve">0969320347    </v>
      </c>
      <c r="G393" s="2" t="str">
        <f>"田崎　日出夫"</f>
        <v>田崎　日出夫</v>
      </c>
      <c r="H393" s="2" t="str">
        <f>"S45.10.19"</f>
        <v>S45.10.19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</row>
    <row r="394" spans="2:15" x14ac:dyDescent="0.2">
      <c r="B394" s="2" t="str">
        <f t="shared" si="13"/>
        <v>天草</v>
      </c>
      <c r="C394" s="2" t="str">
        <f>"山本歯科医院"</f>
        <v>山本歯科医院</v>
      </c>
      <c r="D394" s="2" t="str">
        <f>"863-2421"</f>
        <v>863-2421</v>
      </c>
      <c r="E394" s="2" t="s">
        <v>402</v>
      </c>
      <c r="F394" s="2" t="str">
        <f>"0969330336    "</f>
        <v xml:space="preserve">0969330336    </v>
      </c>
      <c r="G394" s="2" t="str">
        <f>"医療法人社団　康治会"</f>
        <v>医療法人社団　康治会</v>
      </c>
      <c r="H394" s="2" t="str">
        <f>"H04.09.01"</f>
        <v>H04.09.01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</row>
    <row r="395" spans="2:15" x14ac:dyDescent="0.2">
      <c r="B395" s="2" t="str">
        <f t="shared" si="13"/>
        <v>天草</v>
      </c>
      <c r="C395" s="2" t="str">
        <f>"あらき歯科医院"</f>
        <v>あらき歯科医院</v>
      </c>
      <c r="D395" s="2" t="str">
        <f>"863-2503"</f>
        <v>863-2503</v>
      </c>
      <c r="E395" s="2" t="s">
        <v>403</v>
      </c>
      <c r="F395" s="2" t="str">
        <f>"0969352460    "</f>
        <v xml:space="preserve">0969352460    </v>
      </c>
      <c r="G395" s="2" t="str">
        <f>"荒木　浩一"</f>
        <v>荒木　浩一</v>
      </c>
      <c r="H395" s="2" t="str">
        <f>"S63.09.26"</f>
        <v>S63.09.26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</row>
    <row r="396" spans="2:15" x14ac:dyDescent="0.2">
      <c r="B396" s="2" t="str">
        <f t="shared" si="13"/>
        <v>天草</v>
      </c>
      <c r="C396" s="2" t="str">
        <f>"森口歯科医院"</f>
        <v>森口歯科医院</v>
      </c>
      <c r="D396" s="2" t="str">
        <f>"863-2805"</f>
        <v>863-2805</v>
      </c>
      <c r="E396" s="2" t="s">
        <v>404</v>
      </c>
      <c r="F396" s="2" t="str">
        <f>"0969420821    "</f>
        <v xml:space="preserve">0969420821    </v>
      </c>
      <c r="G396" s="2" t="str">
        <f>"森口　茂樹"</f>
        <v>森口　茂樹</v>
      </c>
      <c r="H396" s="2" t="str">
        <f>"S62.05.02"</f>
        <v>S62.05.02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</row>
    <row r="397" spans="2:15" x14ac:dyDescent="0.2">
      <c r="B397" s="2" t="str">
        <f t="shared" si="13"/>
        <v>天草</v>
      </c>
      <c r="C397" s="2" t="str">
        <f>"内崎歯科医院"</f>
        <v>内崎歯科医院</v>
      </c>
      <c r="D397" s="2" t="str">
        <f>"863-1202"</f>
        <v>863-1202</v>
      </c>
      <c r="E397" s="2" t="s">
        <v>405</v>
      </c>
      <c r="F397" s="2" t="str">
        <f>"0969761553    "</f>
        <v xml:space="preserve">0969761553    </v>
      </c>
      <c r="G397" s="2" t="str">
        <f>"内崎　祐一"</f>
        <v>内崎　祐一</v>
      </c>
      <c r="H397" s="2" t="str">
        <f>"H05.06.01"</f>
        <v>H05.06.01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</row>
    <row r="398" spans="2:15" x14ac:dyDescent="0.2">
      <c r="B398" s="2" t="str">
        <f t="shared" si="13"/>
        <v>天草</v>
      </c>
      <c r="C398" s="2" t="str">
        <f>"医療法人社団　南生会　生田歯科医院"</f>
        <v>医療法人社団　南生会　生田歯科医院</v>
      </c>
      <c r="D398" s="2" t="str">
        <f>"863-1215"</f>
        <v>863-1215</v>
      </c>
      <c r="E398" s="2" t="s">
        <v>406</v>
      </c>
      <c r="F398" s="2" t="str">
        <f>"0969770039    "</f>
        <v xml:space="preserve">0969770039    </v>
      </c>
      <c r="G398" s="2" t="str">
        <f>"医療法人社団　南生会　生田歯科医院"</f>
        <v>医療法人社団　南生会　生田歯科医院</v>
      </c>
      <c r="H398" s="2" t="str">
        <f>"H17.04.01"</f>
        <v>H17.04.01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</row>
    <row r="399" spans="2:15" x14ac:dyDescent="0.2">
      <c r="B399" s="2" t="str">
        <f t="shared" si="13"/>
        <v>天草</v>
      </c>
      <c r="C399" s="2" t="str">
        <f>"青砥歯科医院"</f>
        <v>青砥歯科医院</v>
      </c>
      <c r="D399" s="2" t="str">
        <f>"863-2503"</f>
        <v>863-2503</v>
      </c>
      <c r="E399" s="2" t="s">
        <v>407</v>
      </c>
      <c r="F399" s="2" t="str">
        <f>"0969350117    "</f>
        <v xml:space="preserve">0969350117    </v>
      </c>
      <c r="G399" s="2" t="str">
        <f>"青砥　圭吾"</f>
        <v>青砥　圭吾</v>
      </c>
      <c r="H399" s="2" t="str">
        <f>"H19.01.01"</f>
        <v>H19.01.01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</row>
    <row r="400" spans="2:15" x14ac:dyDescent="0.2">
      <c r="B400" s="2" t="str">
        <f t="shared" si="13"/>
        <v>天草</v>
      </c>
      <c r="C400" s="2" t="str">
        <f>"いるか歯科医院"</f>
        <v>いるか歯科医院</v>
      </c>
      <c r="D400" s="2" t="str">
        <f>"863-1901"</f>
        <v>863-1901</v>
      </c>
      <c r="E400" s="2" t="s">
        <v>408</v>
      </c>
      <c r="F400" s="2" t="str">
        <f>"0969726055    "</f>
        <v xml:space="preserve">0969726055    </v>
      </c>
      <c r="G400" s="2" t="str">
        <f>"光永　昭宏"</f>
        <v>光永　昭宏</v>
      </c>
      <c r="H400" s="2" t="str">
        <f>"H19.01.22"</f>
        <v>H19.01.22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</row>
    <row r="401" spans="2:15" x14ac:dyDescent="0.2">
      <c r="B401" s="2" t="str">
        <f t="shared" si="13"/>
        <v>天草</v>
      </c>
      <c r="C401" s="2" t="str">
        <f>"アップル歯科クリニック"</f>
        <v>アップル歯科クリニック</v>
      </c>
      <c r="D401" s="2" t="str">
        <f>"863-0002"</f>
        <v>863-0002</v>
      </c>
      <c r="E401" s="2" t="s">
        <v>409</v>
      </c>
      <c r="F401" s="2" t="str">
        <f>"0969270118    "</f>
        <v xml:space="preserve">0969270118    </v>
      </c>
      <c r="G401" s="2" t="str">
        <f>"小林　裕介"</f>
        <v>小林　裕介</v>
      </c>
      <c r="H401" s="2" t="str">
        <f>"H19.07.01"</f>
        <v>H19.07.01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</row>
    <row r="402" spans="2:15" x14ac:dyDescent="0.2">
      <c r="B402" s="2" t="str">
        <f t="shared" si="13"/>
        <v>天草</v>
      </c>
      <c r="C402" s="2" t="str">
        <f>"松原歯科医院"</f>
        <v>松原歯科医院</v>
      </c>
      <c r="D402" s="2" t="str">
        <f>"861-6102"</f>
        <v>861-6102</v>
      </c>
      <c r="E402" s="2" t="s">
        <v>410</v>
      </c>
      <c r="F402" s="2" t="str">
        <f>"0969561212    "</f>
        <v xml:space="preserve">0969561212    </v>
      </c>
      <c r="G402" s="2" t="str">
        <f>"松原　崇士"</f>
        <v>松原　崇士</v>
      </c>
      <c r="H402" s="2" t="str">
        <f>"H20.02.12"</f>
        <v>H20.02.12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</row>
    <row r="403" spans="2:15" x14ac:dyDescent="0.2">
      <c r="B403" s="2" t="str">
        <f t="shared" si="13"/>
        <v>天草</v>
      </c>
      <c r="C403" s="2" t="str">
        <f>"スマイル歯科矯正歯科クリニック"</f>
        <v>スマイル歯科矯正歯科クリニック</v>
      </c>
      <c r="D403" s="2" t="str">
        <f>"863-0015"</f>
        <v>863-0015</v>
      </c>
      <c r="E403" s="2" t="s">
        <v>411</v>
      </c>
      <c r="F403" s="2" t="str">
        <f>"0969244534    "</f>
        <v xml:space="preserve">0969244534    </v>
      </c>
      <c r="G403" s="2" t="str">
        <f>"医療法人　青木会"</f>
        <v>医療法人　青木会</v>
      </c>
      <c r="H403" s="2" t="str">
        <f>"H24.06.01"</f>
        <v>H24.06.01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</row>
    <row r="404" spans="2:15" x14ac:dyDescent="0.2">
      <c r="B404" s="2" t="str">
        <f t="shared" si="13"/>
        <v>天草</v>
      </c>
      <c r="C404" s="2" t="str">
        <f>"つばさ歯科クリニック"</f>
        <v>つばさ歯科クリニック</v>
      </c>
      <c r="D404" s="2" t="str">
        <f>"863-0024"</f>
        <v>863-0024</v>
      </c>
      <c r="E404" s="2" t="s">
        <v>412</v>
      </c>
      <c r="F404" s="2" t="str">
        <f>"0969669889    "</f>
        <v xml:space="preserve">0969669889    </v>
      </c>
      <c r="G404" s="2" t="str">
        <f>"林　英臣"</f>
        <v>林　英臣</v>
      </c>
      <c r="H404" s="2" t="str">
        <f>"H25.09.10"</f>
        <v>H25.09.10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  <c r="N404" s="2">
        <v>0</v>
      </c>
      <c r="O404" s="2">
        <v>0</v>
      </c>
    </row>
    <row r="405" spans="2:15" x14ac:dyDescent="0.2">
      <c r="B405" s="2" t="str">
        <f t="shared" si="13"/>
        <v>天草</v>
      </c>
      <c r="C405" s="2" t="str">
        <f>"Ａｙａ小児・矯正歯科クリニック"</f>
        <v>Ａｙａ小児・矯正歯科クリニック</v>
      </c>
      <c r="D405" s="2" t="str">
        <f>"863-0001"</f>
        <v>863-0001</v>
      </c>
      <c r="E405" s="2" t="s">
        <v>413</v>
      </c>
      <c r="F405" s="2" t="str">
        <f>"0969669170    "</f>
        <v xml:space="preserve">0969669170    </v>
      </c>
      <c r="G405" s="2" t="str">
        <f>"佐々木　文"</f>
        <v>佐々木　文</v>
      </c>
      <c r="H405" s="2" t="str">
        <f>"H26.06.16"</f>
        <v>H26.06.16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</row>
    <row r="406" spans="2:15" x14ac:dyDescent="0.2">
      <c r="B406" s="2" t="str">
        <f t="shared" si="13"/>
        <v>天草</v>
      </c>
      <c r="C406" s="2" t="str">
        <f>"長山歯科医院"</f>
        <v>長山歯科医院</v>
      </c>
      <c r="D406" s="2" t="str">
        <f>"869-3601"</f>
        <v>869-3601</v>
      </c>
      <c r="E406" s="2" t="s">
        <v>414</v>
      </c>
      <c r="F406" s="2" t="str">
        <f>"0964560201    "</f>
        <v xml:space="preserve">0964560201    </v>
      </c>
      <c r="G406" s="2" t="str">
        <f>"中嶋　千帆"</f>
        <v>中嶋　千帆</v>
      </c>
      <c r="H406" s="2" t="str">
        <f>"H26.12.17"</f>
        <v>H26.12.17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</row>
    <row r="407" spans="2:15" x14ac:dyDescent="0.2">
      <c r="B407" s="2" t="str">
        <f t="shared" si="13"/>
        <v>天草</v>
      </c>
      <c r="C407" s="2" t="str">
        <f>"オーラルケアサポートさくら"</f>
        <v>オーラルケアサポートさくら</v>
      </c>
      <c r="D407" s="2" t="str">
        <f>"861-7314"</f>
        <v>861-7314</v>
      </c>
      <c r="E407" s="2" t="s">
        <v>415</v>
      </c>
      <c r="F407" s="2" t="str">
        <f>"0969256377    "</f>
        <v xml:space="preserve">0969256377    </v>
      </c>
      <c r="G407" s="2" t="str">
        <f>"天草祐歯会"</f>
        <v>天草祐歯会</v>
      </c>
      <c r="H407" s="2" t="str">
        <f>"H27.04.01"</f>
        <v>H27.04.01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</row>
    <row r="408" spans="2:15" x14ac:dyDescent="0.2">
      <c r="B408" s="2" t="str">
        <f t="shared" si="13"/>
        <v>天草</v>
      </c>
      <c r="C408" s="2" t="str">
        <f>"じん歯科クリニック"</f>
        <v>じん歯科クリニック</v>
      </c>
      <c r="D408" s="2" t="str">
        <f>"863-0048"</f>
        <v>863-0048</v>
      </c>
      <c r="E408" s="2" t="s">
        <v>416</v>
      </c>
      <c r="F408" s="2" t="str">
        <f>"0969275200    "</f>
        <v xml:space="preserve">0969275200    </v>
      </c>
      <c r="G408" s="2" t="str">
        <f>"神　浩介"</f>
        <v>神　浩介</v>
      </c>
      <c r="H408" s="2" t="str">
        <f>"H30.04.12"</f>
        <v>H30.04.12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</row>
    <row r="409" spans="2:15" x14ac:dyDescent="0.2">
      <c r="B409" s="2" t="str">
        <f t="shared" si="13"/>
        <v>天草</v>
      </c>
      <c r="C409" s="2" t="str">
        <f>"せどデンタルオフィス"</f>
        <v>せどデンタルオフィス</v>
      </c>
      <c r="D409" s="2" t="str">
        <f>"863-0041"</f>
        <v>863-0041</v>
      </c>
      <c r="E409" s="2" t="s">
        <v>417</v>
      </c>
      <c r="F409" s="2" t="str">
        <f>"0969669096    "</f>
        <v xml:space="preserve">0969669096    </v>
      </c>
      <c r="G409" s="2" t="str">
        <f>"医療法人せど会"</f>
        <v>医療法人せど会</v>
      </c>
      <c r="H409" s="2" t="str">
        <f>"R03.06.01"</f>
        <v>R03.06.01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</row>
    <row r="410" spans="2:15" x14ac:dyDescent="0.2">
      <c r="B410" s="2" t="str">
        <f t="shared" si="13"/>
        <v>天草</v>
      </c>
      <c r="C410" s="2" t="str">
        <f>"天草訪問歯科クリニック"</f>
        <v>天草訪問歯科クリニック</v>
      </c>
      <c r="D410" s="2" t="str">
        <f>"863-0005"</f>
        <v>863-0005</v>
      </c>
      <c r="E410" s="2" t="s">
        <v>418</v>
      </c>
      <c r="F410" s="2" t="str">
        <f>"0969248880    "</f>
        <v xml:space="preserve">0969248880    </v>
      </c>
      <c r="G410" s="2" t="str">
        <f>"医療法人社団　南生会　生田歯科医院"</f>
        <v>医療法人社団　南生会　生田歯科医院</v>
      </c>
      <c r="H410" s="2" t="str">
        <f>"R03.09.01"</f>
        <v>R03.09.01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</row>
    <row r="411" spans="2:15" x14ac:dyDescent="0.2">
      <c r="B411" s="2" t="str">
        <f t="shared" si="13"/>
        <v>天草</v>
      </c>
      <c r="C411" s="2" t="str">
        <f>"はまさき歯科医院"</f>
        <v>はまさき歯科医院</v>
      </c>
      <c r="D411" s="2" t="str">
        <f>"861-7203"</f>
        <v>861-7203</v>
      </c>
      <c r="E411" s="2" t="s">
        <v>419</v>
      </c>
      <c r="F411" s="2" t="str">
        <f>"0969540401    "</f>
        <v xml:space="preserve">0969540401    </v>
      </c>
      <c r="G411" s="2" t="str">
        <f>"濱﨑　研吾"</f>
        <v>濱﨑　研吾</v>
      </c>
      <c r="H411" s="2" t="str">
        <f>"R04.04.01"</f>
        <v>R04.04.01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</row>
    <row r="412" spans="2:15" x14ac:dyDescent="0.2">
      <c r="B412" s="2" t="str">
        <f t="shared" si="13"/>
        <v>天草</v>
      </c>
      <c r="C412" s="2" t="str">
        <f>"にしきど歯科医院"</f>
        <v>にしきど歯科医院</v>
      </c>
      <c r="D412" s="2" t="str">
        <f>"863-0014"</f>
        <v>863-0014</v>
      </c>
      <c r="E412" s="2" t="s">
        <v>420</v>
      </c>
      <c r="F412" s="2" t="str">
        <f>"0969339760    "</f>
        <v xml:space="preserve">0969339760    </v>
      </c>
      <c r="G412" s="2" t="str">
        <f>"医療法人にしきど歯科医院"</f>
        <v>医療法人にしきど歯科医院</v>
      </c>
      <c r="H412" s="2" t="str">
        <f>"R08.01.01"</f>
        <v>R08.01.01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</row>
  </sheetData>
  <autoFilter ref="B2:O2" xr:uid="{BB3DE425-E9CD-4DFB-8FCE-13A04A7ABF1C}"/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歯科診療所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2026-04-30T08:02:40Z</dcterms:created>
  <dcterms:modified xsi:type="dcterms:W3CDTF">2026-05-08T04:14:52Z</dcterms:modified>
</cp:coreProperties>
</file>