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40.200\医療政策課共有hdd\01 総務・医事班\○１病院、診療所台帳\R5年度\公表用\"/>
    </mc:Choice>
  </mc:AlternateContent>
  <bookViews>
    <workbookView xWindow="0" yWindow="0" windowWidth="20490" windowHeight="7635"/>
  </bookViews>
  <sheets>
    <sheet name="台帳" sheetId="2" r:id="rId1"/>
  </sheets>
  <definedNames>
    <definedName name="_xlnm._FilterDatabase" localSheetId="0" hidden="1">台帳!$B$4:$BB$4</definedName>
    <definedName name="_xlnm.Print_Titles" localSheetId="0">台帳!$1:$4</definedName>
    <definedName name="診療所台帳" localSheetId="0">台帳!$C$4:$BB$4</definedName>
    <definedName name="診療所台帳">#REF!</definedName>
  </definedNames>
  <calcPr calcId="162913"/>
</workbook>
</file>

<file path=xl/calcChain.xml><?xml version="1.0" encoding="utf-8"?>
<calcChain xmlns="http://schemas.openxmlformats.org/spreadsheetml/2006/main">
  <c r="J58" i="2" l="1"/>
  <c r="J59" i="2"/>
  <c r="J60" i="2"/>
  <c r="J61" i="2"/>
  <c r="J62" i="2"/>
  <c r="J63" i="2"/>
  <c r="J64" i="2"/>
  <c r="J65" i="2"/>
  <c r="J47" i="2"/>
  <c r="J48" i="2"/>
  <c r="J49" i="2"/>
  <c r="J50" i="2"/>
  <c r="J51" i="2"/>
  <c r="J52" i="2"/>
  <c r="J53" i="2"/>
  <c r="J54" i="2"/>
  <c r="J55" i="2"/>
  <c r="J56" i="2"/>
  <c r="J57" i="2"/>
  <c r="J35" i="2"/>
  <c r="J36" i="2"/>
  <c r="J37" i="2"/>
  <c r="J38" i="2"/>
  <c r="J39" i="2"/>
  <c r="J40" i="2"/>
  <c r="J41" i="2"/>
  <c r="J42" i="2"/>
  <c r="J43" i="2"/>
  <c r="J44" i="2"/>
  <c r="J45" i="2"/>
  <c r="J46" i="2"/>
  <c r="J25" i="2"/>
  <c r="J26" i="2"/>
  <c r="J27" i="2"/>
  <c r="J28" i="2"/>
  <c r="J29" i="2"/>
  <c r="J30" i="2"/>
  <c r="J31" i="2"/>
  <c r="J32" i="2"/>
  <c r="J33" i="2"/>
  <c r="J34" i="2"/>
  <c r="J16" i="2"/>
  <c r="J17" i="2"/>
  <c r="J18" i="2"/>
  <c r="J19" i="2"/>
  <c r="J20" i="2"/>
  <c r="J21" i="2"/>
  <c r="J22" i="2"/>
  <c r="J23" i="2"/>
  <c r="J24" i="2"/>
  <c r="J6" i="2"/>
  <c r="J7" i="2"/>
  <c r="J8" i="2"/>
  <c r="J9" i="2"/>
  <c r="J10" i="2"/>
  <c r="J11" i="2"/>
  <c r="J12" i="2"/>
  <c r="J13" i="2"/>
  <c r="J14" i="2"/>
  <c r="J15" i="2"/>
  <c r="J116" i="2"/>
  <c r="G116" i="2"/>
  <c r="D116" i="2"/>
  <c r="C116" i="2"/>
  <c r="B116" i="2"/>
  <c r="J115" i="2"/>
  <c r="G115" i="2"/>
  <c r="D115" i="2"/>
  <c r="C115" i="2"/>
  <c r="B115" i="2"/>
  <c r="J114" i="2"/>
  <c r="G114" i="2"/>
  <c r="D114" i="2"/>
  <c r="C114" i="2"/>
  <c r="B114" i="2"/>
  <c r="J113" i="2"/>
  <c r="G113" i="2"/>
  <c r="D113" i="2"/>
  <c r="C113" i="2"/>
  <c r="B113" i="2"/>
  <c r="J112" i="2"/>
  <c r="G112" i="2"/>
  <c r="D112" i="2"/>
  <c r="C112" i="2"/>
  <c r="B112" i="2"/>
  <c r="J111" i="2"/>
  <c r="G111" i="2"/>
  <c r="D111" i="2"/>
  <c r="C111" i="2"/>
  <c r="B111" i="2"/>
  <c r="J110" i="2"/>
  <c r="G110" i="2"/>
  <c r="D110" i="2"/>
  <c r="C110" i="2"/>
  <c r="B110" i="2"/>
  <c r="J109" i="2"/>
  <c r="G109" i="2"/>
  <c r="D109" i="2"/>
  <c r="C109" i="2"/>
  <c r="B109" i="2"/>
  <c r="J108" i="2"/>
  <c r="G108" i="2"/>
  <c r="D108" i="2"/>
  <c r="C108" i="2"/>
  <c r="B108" i="2"/>
  <c r="J107" i="2"/>
  <c r="G107" i="2"/>
  <c r="D107" i="2"/>
  <c r="C107" i="2"/>
  <c r="B107" i="2"/>
  <c r="J106" i="2"/>
  <c r="G106" i="2"/>
  <c r="D106" i="2"/>
  <c r="C106" i="2"/>
  <c r="B106" i="2"/>
  <c r="J105" i="2"/>
  <c r="G105" i="2"/>
  <c r="D105" i="2"/>
  <c r="C105" i="2"/>
  <c r="B105" i="2"/>
  <c r="J104" i="2"/>
  <c r="G104" i="2"/>
  <c r="D104" i="2"/>
  <c r="C104" i="2"/>
  <c r="B104" i="2"/>
  <c r="J103" i="2"/>
  <c r="G103" i="2"/>
  <c r="D103" i="2"/>
  <c r="C103" i="2"/>
  <c r="B103" i="2"/>
  <c r="J102" i="2"/>
  <c r="G102" i="2"/>
  <c r="D102" i="2"/>
  <c r="C102" i="2"/>
  <c r="B102" i="2"/>
  <c r="J101" i="2"/>
  <c r="G101" i="2"/>
  <c r="D101" i="2"/>
  <c r="C101" i="2"/>
  <c r="B101" i="2"/>
  <c r="J100" i="2"/>
  <c r="G100" i="2"/>
  <c r="D100" i="2"/>
  <c r="C100" i="2"/>
  <c r="B100" i="2"/>
  <c r="J99" i="2"/>
  <c r="G99" i="2"/>
  <c r="D99" i="2"/>
  <c r="C99" i="2"/>
  <c r="B99" i="2"/>
  <c r="J98" i="2"/>
  <c r="G98" i="2"/>
  <c r="D98" i="2"/>
  <c r="C98" i="2"/>
  <c r="J97" i="2"/>
  <c r="G97" i="2"/>
  <c r="D97" i="2"/>
  <c r="C97" i="2"/>
  <c r="G96" i="2"/>
  <c r="D96" i="2"/>
  <c r="C96" i="2"/>
  <c r="J95" i="2"/>
  <c r="G95" i="2"/>
  <c r="D95" i="2"/>
  <c r="C95" i="2"/>
  <c r="J94" i="2"/>
  <c r="G94" i="2"/>
  <c r="D94" i="2"/>
  <c r="C94" i="2"/>
  <c r="J93" i="2"/>
  <c r="G93" i="2"/>
  <c r="D93" i="2"/>
  <c r="C93" i="2"/>
  <c r="J92" i="2"/>
  <c r="G92" i="2"/>
  <c r="D92" i="2"/>
  <c r="C92" i="2"/>
  <c r="J91" i="2"/>
  <c r="G91" i="2"/>
  <c r="D91" i="2"/>
  <c r="C91" i="2"/>
  <c r="J90" i="2"/>
  <c r="G90" i="2"/>
  <c r="D90" i="2"/>
  <c r="C90" i="2"/>
  <c r="J89" i="2"/>
  <c r="G89" i="2"/>
  <c r="D89" i="2"/>
  <c r="C89" i="2"/>
  <c r="J88" i="2"/>
  <c r="G88" i="2"/>
  <c r="D88" i="2"/>
  <c r="C88" i="2"/>
  <c r="J87" i="2"/>
  <c r="G87" i="2"/>
  <c r="D87" i="2"/>
  <c r="C87" i="2"/>
  <c r="J86" i="2"/>
  <c r="G86" i="2"/>
  <c r="D86" i="2"/>
  <c r="C86" i="2"/>
  <c r="J85" i="2"/>
  <c r="G85" i="2"/>
  <c r="C85" i="2"/>
  <c r="J84" i="2"/>
  <c r="G84" i="2"/>
  <c r="D84" i="2"/>
  <c r="C84" i="2"/>
  <c r="J83" i="2"/>
  <c r="G83" i="2"/>
  <c r="D83" i="2"/>
  <c r="C83" i="2"/>
  <c r="J82" i="2"/>
  <c r="G82" i="2"/>
  <c r="C82" i="2"/>
  <c r="J81" i="2"/>
  <c r="G81" i="2"/>
  <c r="C81" i="2"/>
  <c r="J80" i="2"/>
  <c r="G80" i="2"/>
  <c r="D80" i="2"/>
  <c r="C80" i="2"/>
  <c r="J79" i="2"/>
  <c r="G79" i="2"/>
  <c r="D79" i="2"/>
  <c r="C79" i="2"/>
  <c r="J78" i="2"/>
  <c r="G78" i="2"/>
  <c r="D78" i="2"/>
  <c r="C78" i="2"/>
  <c r="J77" i="2"/>
  <c r="G77" i="2"/>
  <c r="D77" i="2"/>
  <c r="C77" i="2"/>
  <c r="B77" i="2"/>
  <c r="J76" i="2"/>
  <c r="G76" i="2"/>
  <c r="D76" i="2"/>
  <c r="C76" i="2"/>
  <c r="B76" i="2"/>
  <c r="J75" i="2"/>
  <c r="G75" i="2"/>
  <c r="D75" i="2"/>
  <c r="C75" i="2"/>
  <c r="B75" i="2"/>
  <c r="J74" i="2"/>
  <c r="G74" i="2"/>
  <c r="D74" i="2"/>
  <c r="C74" i="2"/>
  <c r="B74" i="2"/>
  <c r="J73" i="2"/>
  <c r="G73" i="2"/>
  <c r="D73" i="2"/>
  <c r="C73" i="2"/>
  <c r="B73" i="2"/>
  <c r="J72" i="2"/>
  <c r="G72" i="2"/>
  <c r="D72" i="2"/>
  <c r="C72" i="2"/>
  <c r="B72" i="2"/>
  <c r="J71" i="2"/>
  <c r="G71" i="2"/>
  <c r="D71" i="2"/>
  <c r="C71" i="2"/>
  <c r="B71" i="2"/>
  <c r="G70" i="2"/>
  <c r="D70" i="2"/>
  <c r="C70" i="2"/>
  <c r="B70" i="2"/>
  <c r="J69" i="2"/>
  <c r="G69" i="2"/>
  <c r="D69" i="2"/>
  <c r="C69" i="2"/>
  <c r="B69" i="2"/>
  <c r="J68" i="2"/>
  <c r="G68" i="2"/>
  <c r="D68" i="2"/>
  <c r="C68" i="2"/>
  <c r="B68" i="2"/>
  <c r="J67" i="2"/>
  <c r="G67" i="2"/>
  <c r="D67" i="2"/>
  <c r="C67" i="2"/>
  <c r="B67" i="2"/>
  <c r="J66" i="2"/>
  <c r="G66" i="2"/>
  <c r="D66" i="2"/>
  <c r="C66" i="2"/>
  <c r="B66" i="2"/>
  <c r="G65" i="2"/>
  <c r="D65" i="2"/>
  <c r="C65" i="2"/>
  <c r="B65" i="2"/>
  <c r="G64" i="2"/>
  <c r="D64" i="2"/>
  <c r="C64" i="2"/>
  <c r="B64" i="2"/>
  <c r="G63" i="2"/>
  <c r="D63" i="2"/>
  <c r="C63" i="2"/>
  <c r="B63" i="2"/>
  <c r="G62" i="2"/>
  <c r="D62" i="2"/>
  <c r="C62" i="2"/>
  <c r="B62" i="2"/>
  <c r="G61" i="2"/>
  <c r="D61" i="2"/>
  <c r="C61" i="2"/>
  <c r="B61" i="2"/>
  <c r="G60" i="2"/>
  <c r="D60" i="2"/>
  <c r="C60" i="2"/>
  <c r="B60" i="2"/>
  <c r="G59" i="2"/>
  <c r="D59" i="2"/>
  <c r="C59" i="2"/>
  <c r="B59" i="2"/>
  <c r="G58" i="2"/>
  <c r="D58" i="2"/>
  <c r="C58" i="2"/>
  <c r="B58" i="2"/>
  <c r="G57" i="2"/>
  <c r="D57" i="2"/>
  <c r="C57" i="2"/>
  <c r="B57" i="2"/>
  <c r="G56" i="2"/>
  <c r="C56" i="2"/>
  <c r="B56" i="2"/>
  <c r="G55" i="2"/>
  <c r="D55" i="2"/>
  <c r="C55" i="2"/>
  <c r="B55" i="2"/>
  <c r="G54" i="2"/>
  <c r="C54" i="2"/>
  <c r="B54" i="2"/>
  <c r="G53" i="2"/>
  <c r="D53" i="2"/>
  <c r="C53" i="2"/>
  <c r="B53" i="2"/>
  <c r="G52" i="2"/>
  <c r="D52" i="2"/>
  <c r="C52" i="2"/>
  <c r="B52" i="2"/>
  <c r="G51" i="2"/>
  <c r="D51" i="2"/>
  <c r="C51" i="2"/>
  <c r="B51" i="2"/>
  <c r="G50" i="2"/>
  <c r="D50" i="2"/>
  <c r="C50" i="2"/>
  <c r="B50" i="2"/>
  <c r="G49" i="2"/>
  <c r="D49" i="2"/>
  <c r="C49" i="2"/>
  <c r="B49" i="2"/>
  <c r="G48" i="2"/>
  <c r="D48" i="2"/>
  <c r="C48" i="2"/>
  <c r="B48" i="2"/>
  <c r="G47" i="2"/>
  <c r="D47" i="2"/>
  <c r="C47" i="2"/>
  <c r="B47" i="2"/>
  <c r="G46" i="2"/>
  <c r="D46" i="2"/>
  <c r="C46" i="2"/>
  <c r="B46" i="2"/>
  <c r="G45" i="2"/>
  <c r="D45" i="2"/>
  <c r="C45" i="2"/>
  <c r="B45" i="2"/>
  <c r="G44" i="2"/>
  <c r="D44" i="2"/>
  <c r="C44" i="2"/>
  <c r="B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B37" i="2"/>
  <c r="G36" i="2"/>
  <c r="D36" i="2"/>
  <c r="C36" i="2"/>
  <c r="B36" i="2"/>
  <c r="G35" i="2"/>
  <c r="D35" i="2"/>
  <c r="C35" i="2"/>
  <c r="B35" i="2"/>
  <c r="G34" i="2"/>
  <c r="D34" i="2"/>
  <c r="C34" i="2"/>
  <c r="B34" i="2"/>
  <c r="G33" i="2"/>
  <c r="D33" i="2"/>
  <c r="C33" i="2"/>
  <c r="B33" i="2"/>
  <c r="G32" i="2"/>
  <c r="D32" i="2"/>
  <c r="C32" i="2"/>
  <c r="B32" i="2"/>
  <c r="G31" i="2"/>
  <c r="D31" i="2"/>
  <c r="C31" i="2"/>
  <c r="B31" i="2"/>
  <c r="G30" i="2"/>
  <c r="D30" i="2"/>
  <c r="C30" i="2"/>
  <c r="B30" i="2"/>
  <c r="G29" i="2"/>
  <c r="D29" i="2"/>
  <c r="C29" i="2"/>
  <c r="B29" i="2"/>
  <c r="G28" i="2"/>
  <c r="D28" i="2"/>
  <c r="C28" i="2"/>
  <c r="B28" i="2"/>
  <c r="G27" i="2"/>
  <c r="D27" i="2"/>
  <c r="C27" i="2"/>
  <c r="B27" i="2"/>
  <c r="G26" i="2"/>
  <c r="D26" i="2"/>
  <c r="C26" i="2"/>
  <c r="B26" i="2"/>
  <c r="G25" i="2"/>
  <c r="D25" i="2"/>
  <c r="C25" i="2"/>
  <c r="B25" i="2"/>
  <c r="G24" i="2"/>
  <c r="D24" i="2"/>
  <c r="C24" i="2"/>
  <c r="B24" i="2"/>
  <c r="G23" i="2"/>
  <c r="D23" i="2"/>
  <c r="C23" i="2"/>
  <c r="B23" i="2"/>
  <c r="G22" i="2"/>
  <c r="D22" i="2"/>
  <c r="C22" i="2"/>
  <c r="B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C6" i="2"/>
  <c r="J5" i="2"/>
  <c r="G5" i="2"/>
  <c r="D5" i="2"/>
  <c r="C5" i="2"/>
</calcChain>
</file>

<file path=xl/sharedStrings.xml><?xml version="1.0" encoding="utf-8"?>
<sst xmlns="http://schemas.openxmlformats.org/spreadsheetml/2006/main" count="1135" uniqueCount="238">
  <si>
    <t>所在地</t>
  </si>
  <si>
    <t>郵便番号</t>
  </si>
  <si>
    <t>電話番号</t>
  </si>
  <si>
    <t>開設者名</t>
  </si>
  <si>
    <t>精神病床数</t>
  </si>
  <si>
    <t>結核病床数</t>
  </si>
  <si>
    <t>一般病床数</t>
  </si>
  <si>
    <t>内科</t>
  </si>
  <si>
    <t>呼吸器科</t>
  </si>
  <si>
    <t>消化器科</t>
  </si>
  <si>
    <t>胃腸科</t>
  </si>
  <si>
    <t>循環器科</t>
  </si>
  <si>
    <t>小児科</t>
  </si>
  <si>
    <t>精神科</t>
  </si>
  <si>
    <t>神経科</t>
  </si>
  <si>
    <t>神経内科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</si>
  <si>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</si>
  <si>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</si>
  <si>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</si>
  <si>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</si>
  <si>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</si>
  <si>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</si>
  <si>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</si>
  <si>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</si>
  <si>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</si>
  <si>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</si>
  <si>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</si>
  <si>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</si>
  <si>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</si>
  <si>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</si>
  <si>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皮膚ひ尿器科</t>
  </si>
  <si>
    <t>皮膚科</t>
  </si>
  <si>
    <t>ひ尿器科</t>
  </si>
  <si>
    <t>性病科</t>
  </si>
  <si>
    <t>こう門科</t>
  </si>
  <si>
    <t>放射線科</t>
  </si>
  <si>
    <t>麻酔科</t>
  </si>
  <si>
    <t>歯科</t>
  </si>
  <si>
    <t>矯正歯科</t>
  </si>
  <si>
    <t>小児歯科</t>
  </si>
  <si>
    <t>心療内科</t>
  </si>
  <si>
    <t>アレルギー科</t>
  </si>
  <si>
    <t>リウマチ科</t>
  </si>
  <si>
    <t>歯科口腔外科</t>
  </si>
  <si>
    <t>感染症病床数</t>
    <rPh sb="0" eb="3">
      <t>カンセンショウ</t>
    </rPh>
    <phoneticPr fontId="1"/>
  </si>
  <si>
    <t>療養病床数</t>
    <phoneticPr fontId="1"/>
  </si>
  <si>
    <t>開設年月日</t>
    <phoneticPr fontId="1"/>
  </si>
  <si>
    <t>診療科目その他</t>
    <rPh sb="0" eb="2">
      <t>シンリョウ</t>
    </rPh>
    <rPh sb="2" eb="4">
      <t>カモク</t>
    </rPh>
    <rPh sb="6" eb="7">
      <t>タ</t>
    </rPh>
    <phoneticPr fontId="1"/>
  </si>
  <si>
    <t>リハビリテーション科</t>
    <phoneticPr fontId="1"/>
  </si>
  <si>
    <t>○</t>
  </si>
  <si>
    <t>児童精神科</t>
  </si>
  <si>
    <t>循環器内科</t>
  </si>
  <si>
    <t>施設名称</t>
    <phoneticPr fontId="1"/>
  </si>
  <si>
    <t>総病床数</t>
    <rPh sb="0" eb="2">
      <t>ビョウショウ</t>
    </rPh>
    <rPh sb="2" eb="3">
      <t>スウ</t>
    </rPh>
    <phoneticPr fontId="1"/>
  </si>
  <si>
    <t>山鹿市大橋通１２０４</t>
  </si>
  <si>
    <t>山鹿市新町１２０４</t>
  </si>
  <si>
    <t>消化器内科、消化器外科</t>
  </si>
  <si>
    <t>山鹿市古閑１５００－１</t>
  </si>
  <si>
    <t>山鹿市山鹿５１１番地</t>
  </si>
  <si>
    <t>呼吸器内科、循環器内科、消化器内科、消化器外科、代謝内科、腫瘍外科、緩和ケア内科、腫瘍内科</t>
  </si>
  <si>
    <t>山鹿市山鹿１０００番地</t>
  </si>
  <si>
    <t>脳神経内科、呼吸器内科、消化器内科、循環器内科、糖尿病内科</t>
  </si>
  <si>
    <t>山鹿市古閑９８４番地</t>
  </si>
  <si>
    <t>菊池市隈府４９４</t>
  </si>
  <si>
    <t>菊池市深川４３３</t>
  </si>
  <si>
    <t>合志市栄３７９６</t>
  </si>
  <si>
    <t>合志市福原２０８</t>
  </si>
  <si>
    <t>合志市須屋２６５９</t>
  </si>
  <si>
    <t>合志市御代志８１２－２</t>
  </si>
  <si>
    <t>緩和ケア内科、消化器内科</t>
  </si>
  <si>
    <t>合志市須屋７０２</t>
  </si>
  <si>
    <t>菊池市泗水町豊水３３８８－１</t>
  </si>
  <si>
    <t>菊池郡菊陽町久保田２９８４</t>
  </si>
  <si>
    <t>菊池郡菊陽町原水５５８７</t>
  </si>
  <si>
    <t>菊池郡菊陽町辛川１９２３－１</t>
  </si>
  <si>
    <t>菊池郡菊陽町曲手７６０</t>
  </si>
  <si>
    <t>脳神経内科、血管外科</t>
  </si>
  <si>
    <t>菊池郡大津町室２６１－９</t>
  </si>
  <si>
    <t>消化器内科、循環器内科、呼吸器内科、人工透析内科</t>
  </si>
  <si>
    <t>菊池市隈府８２３－１</t>
  </si>
  <si>
    <t>菊池市大琳寺字下原７５番地３</t>
  </si>
  <si>
    <t>循環器内科、消化器内科、糖尿病内科、代謝内科、内分泌内科、脂質代謝内科、人工透析内科</t>
  </si>
  <si>
    <t>菊池郡菊陽町原水２９２１番地</t>
  </si>
  <si>
    <t>代謝内科</t>
  </si>
  <si>
    <t>阿蘇市内牧１１５３－１</t>
  </si>
  <si>
    <t>阿蘇郡南阿蘇村立野１８５－１</t>
  </si>
  <si>
    <t>代謝内科、人工透析内科</t>
  </si>
  <si>
    <t>阿蘇市一の宮町宮地１１５－１</t>
  </si>
  <si>
    <t>阿蘇市一の宮町宮地５８３３</t>
  </si>
  <si>
    <t>阿蘇郡小国町宮原１７４３</t>
  </si>
  <si>
    <t>脳神経内科、リウマチ膠原病内科、乳腺内分泌外科、循環器内科、消化器内科、腫瘍内科、呼吸器内科</t>
  </si>
  <si>
    <t>荒尾市荒尾２６００</t>
  </si>
  <si>
    <t>消化器内科、循環器内科、人工透析内科</t>
  </si>
  <si>
    <t>荒尾市荒尾１９９２番地</t>
  </si>
  <si>
    <t>玉名郡長洲町宮野２７７５</t>
  </si>
  <si>
    <t>荒尾市万田４７５－１</t>
  </si>
  <si>
    <t>児童精神科、老年精神科</t>
  </si>
  <si>
    <t>荒尾市増永２６２０</t>
  </si>
  <si>
    <t>脳神経内科、呼吸器内科、消化器内科、循環器内科</t>
  </si>
  <si>
    <t>玉名市伊倉北方２６５</t>
  </si>
  <si>
    <t>精神神経科</t>
  </si>
  <si>
    <t>玉名市築地１４５２－３</t>
  </si>
  <si>
    <t>玉名市上小田１０６３</t>
  </si>
  <si>
    <t>玉名郡和水町江田４０４０</t>
  </si>
  <si>
    <t>玉名市玉名５５０番地</t>
  </si>
  <si>
    <t>管轄保健所</t>
    <rPh sb="0" eb="1">
      <t>カンカツ</t>
    </rPh>
    <rPh sb="1" eb="4">
      <t>ホケンショ</t>
    </rPh>
    <phoneticPr fontId="1"/>
  </si>
  <si>
    <t>菊池
（山鹿）</t>
    <rPh sb="0" eb="2">
      <t>キクチ</t>
    </rPh>
    <phoneticPr fontId="1"/>
  </si>
  <si>
    <t>菊池
（有明）</t>
    <rPh sb="0" eb="2">
      <t>キクチ</t>
    </rPh>
    <phoneticPr fontId="1"/>
  </si>
  <si>
    <t>菊池
（阿蘇）</t>
    <rPh sb="0" eb="2">
      <t>キクチ</t>
    </rPh>
    <phoneticPr fontId="1"/>
  </si>
  <si>
    <t>病院台帳</t>
    <rPh sb="0" eb="2">
      <t>ビョウイン</t>
    </rPh>
    <rPh sb="2" eb="4">
      <t>ダイチョウ</t>
    </rPh>
    <phoneticPr fontId="1"/>
  </si>
  <si>
    <t>〇</t>
    <phoneticPr fontId="1"/>
  </si>
  <si>
    <t>開設状況</t>
    <rPh sb="0" eb="1">
      <t>カイセツ</t>
    </rPh>
    <rPh sb="1" eb="3">
      <t>ジョウキョウ</t>
    </rPh>
    <phoneticPr fontId="1"/>
  </si>
  <si>
    <t>開設中</t>
    <rPh sb="0" eb="3">
      <t>カイセツチュウ</t>
    </rPh>
    <phoneticPr fontId="1"/>
  </si>
  <si>
    <t>脳神経内科、呼吸器内科、消化器内科、循環器内科、画像診断・治療科、糖尿病・内分泌内科、緩和ケア内科、放射線治療科、老年内科</t>
    <rPh sb="57" eb="59">
      <t>ロウネン</t>
    </rPh>
    <rPh sb="59" eb="61">
      <t>ナイカ</t>
    </rPh>
    <phoneticPr fontId="1"/>
  </si>
  <si>
    <t>上益城郡嘉島町大字鯰字皆根１８８０</t>
  </si>
  <si>
    <t>○</t>
    <phoneticPr fontId="1"/>
  </si>
  <si>
    <t>脳神経内科、循環器内科</t>
  </si>
  <si>
    <t>上益城郡益城町惣領１５２２－１</t>
  </si>
  <si>
    <t>休止中</t>
    <rPh sb="0" eb="2">
      <t>キュウシ</t>
    </rPh>
    <rPh sb="2" eb="3">
      <t>チュウ</t>
    </rPh>
    <phoneticPr fontId="1"/>
  </si>
  <si>
    <t>消化器内科、循環器内科</t>
  </si>
  <si>
    <t>上益城郡益城町宮園７２２－１</t>
  </si>
  <si>
    <t>人工透析内科</t>
  </si>
  <si>
    <t>上益城郡益城町広崎１４４５番地１５</t>
  </si>
  <si>
    <t>呼吸器内科、循環器内科、消化器内科、代謝内科、感染症内科、人工透析内科</t>
  </si>
  <si>
    <t>上益城郡甲佐町緑町３３１</t>
  </si>
  <si>
    <t>消化器内科、代謝内科</t>
  </si>
  <si>
    <t>上益城郡甲佐町岩下１２３</t>
  </si>
  <si>
    <t>糖尿病内科、呼吸器内科、漢方内科、循環器内科、代謝内科、内分泌内科</t>
  </si>
  <si>
    <t>上益城郡山都町北中島２８０６番地</t>
  </si>
  <si>
    <t>上益城郡山都町下馬尾２０４</t>
  </si>
  <si>
    <t>循環器内科、消化器内科、消化器外科、肛門外科</t>
  </si>
  <si>
    <t>上益城郡山都町浜町１６７番地の１</t>
  </si>
  <si>
    <t>上益城郡御船町大字豊秋１５４０番地</t>
  </si>
  <si>
    <t>861-3902</t>
  </si>
  <si>
    <t>脳神経内科</t>
  </si>
  <si>
    <t>上益城郡益城町馬水１２３番地</t>
  </si>
  <si>
    <t>宇城市松橋町豊福２９００</t>
  </si>
  <si>
    <t>宇土市松山町１９０１</t>
  </si>
  <si>
    <t>宇城市松橋町豊福２３３８</t>
  </si>
  <si>
    <t>脳神経内科、消化器内科、呼吸器内科、循環器内科、代謝・内分泌内科、肝臓・胆のう・膵臓外科、血液内科、糖尿病内科、消化器外科、感染症内科</t>
    <rPh sb="45" eb="47">
      <t>ケツエキ</t>
    </rPh>
    <rPh sb="47" eb="49">
      <t>ナイカ</t>
    </rPh>
    <rPh sb="50" eb="53">
      <t>トウニョウビョウ</t>
    </rPh>
    <rPh sb="53" eb="55">
      <t>ナイカ</t>
    </rPh>
    <rPh sb="56" eb="59">
      <t>ショウカキ</t>
    </rPh>
    <rPh sb="59" eb="61">
      <t>ゲカ</t>
    </rPh>
    <rPh sb="62" eb="65">
      <t>カンセンショウ</t>
    </rPh>
    <rPh sb="65" eb="67">
      <t>ナイカ</t>
    </rPh>
    <phoneticPr fontId="1"/>
  </si>
  <si>
    <t>宇城市三角町波多７７５－１</t>
  </si>
  <si>
    <t>脳神経内科、消化器内科、循環器内科、呼吸器内科、腎臓内科、糖尿病内科（代謝内科）</t>
    <rPh sb="24" eb="26">
      <t>ジンゾウ</t>
    </rPh>
    <rPh sb="26" eb="28">
      <t>ナイカ</t>
    </rPh>
    <rPh sb="29" eb="32">
      <t>トウニョウビョウ</t>
    </rPh>
    <rPh sb="32" eb="34">
      <t>ナイカ</t>
    </rPh>
    <rPh sb="35" eb="37">
      <t>タイシャ</t>
    </rPh>
    <rPh sb="37" eb="39">
      <t>ナイカ</t>
    </rPh>
    <phoneticPr fontId="1"/>
  </si>
  <si>
    <t>下益城郡美里町中小路８３５</t>
  </si>
  <si>
    <t>呼吸器内科、循環器内科、消化器内科</t>
  </si>
  <si>
    <t>宇城市松橋町豊崎１９６２－１</t>
  </si>
  <si>
    <t>宇城市松橋町萩尾２０３７番地１</t>
  </si>
  <si>
    <t>下益城郡美里町永富３２８</t>
  </si>
  <si>
    <t>呼吸器内科、人工透析内科</t>
    <rPh sb="6" eb="8">
      <t>ジンコウ</t>
    </rPh>
    <rPh sb="8" eb="10">
      <t>トウセキ</t>
    </rPh>
    <rPh sb="10" eb="12">
      <t>ナイカ</t>
    </rPh>
    <phoneticPr fontId="1"/>
  </si>
  <si>
    <t>宇城市松橋町久具６９１番地</t>
  </si>
  <si>
    <t>循環器内科、糖尿病内科、人工透析内科、消化器外科、脳神経内科、内分泌・代謝内科、腎臓内科</t>
    <rPh sb="40" eb="42">
      <t>ジンゾウ</t>
    </rPh>
    <rPh sb="42" eb="44">
      <t>ナイカ</t>
    </rPh>
    <phoneticPr fontId="1"/>
  </si>
  <si>
    <t>宇城市小川町北新田５</t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</si>
  <si>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</si>
  <si>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循環器内科、消化器内科、老年内科、人工透析内科、糖尿病内科、腎臓内科</t>
    <rPh sb="24" eb="27">
      <t>トウニョウビョウ</t>
    </rPh>
    <rPh sb="27" eb="29">
      <t>ナイカ</t>
    </rPh>
    <rPh sb="30" eb="32">
      <t>ジンゾウ</t>
    </rPh>
    <rPh sb="32" eb="34">
      <t>ナイカ</t>
    </rPh>
    <phoneticPr fontId="1"/>
  </si>
  <si>
    <t>八代市竹原町１６７０</t>
  </si>
  <si>
    <t>脳神経内科、呼吸器内科、消化器内科、循環器内科、糖尿病・代謝内科、消化器外科</t>
  </si>
  <si>
    <t>八代市豊原下町４００１</t>
  </si>
  <si>
    <t>八代市大村町７２０－１</t>
  </si>
  <si>
    <t>八代郡氷川町今１５１番地１</t>
  </si>
  <si>
    <t>八代市海士江町２８１７</t>
  </si>
  <si>
    <t>八代市古城町１７０５</t>
  </si>
  <si>
    <t>八代市平山新町４４３８－３</t>
  </si>
  <si>
    <t>八代市郡築一番町１７９番地</t>
  </si>
  <si>
    <t>八代市通町１０番１０号</t>
  </si>
  <si>
    <t>腫瘍内科、感染症内科、呼吸器内科、消化器内科、胃腸内科、循環器内科、肛門外科、アレルギー疾患内科、内視鏡内科、人工透析内科、内分泌内科、代謝内科、脂質代謝内科、腫瘍外科、肝臓外科、膵臓外科、胆のう外科、食道外科、胃外科、大腸外科、内視鏡外科、疼痛緩和外科、頭頚部外科、放射線治療科</t>
  </si>
  <si>
    <t>八代市本町２丁目４番３３号</t>
  </si>
  <si>
    <t>胃腸内科</t>
  </si>
  <si>
    <t>八代市通町８番９号</t>
  </si>
  <si>
    <t>胃腸内科、脳神経内科</t>
  </si>
  <si>
    <t>八代
（水俣）</t>
    <rPh sb="0" eb="2">
      <t>ヤツシロ</t>
    </rPh>
    <rPh sb="4" eb="6">
      <t>ミナマタ</t>
    </rPh>
    <phoneticPr fontId="1"/>
  </si>
  <si>
    <t>水俣市天神町１丁目２番１号</t>
  </si>
  <si>
    <t>脳神経内科、呼吸器内科、消化器内科、循環器内科、代謝内科</t>
  </si>
  <si>
    <t>水俣市袋７０５番地の１４</t>
  </si>
  <si>
    <t>水俣市桜井町３丁目３番３号</t>
  </si>
  <si>
    <t>肛門外科</t>
  </si>
  <si>
    <t>水俣市浜４０５１</t>
  </si>
  <si>
    <t>水俣市桜井町２－２－１２</t>
  </si>
  <si>
    <t>水俣市浜4089番地1</t>
  </si>
  <si>
    <t>水俣市浜４０７６番地</t>
  </si>
  <si>
    <t>葦北郡芦北町大字佐敷２８０番地１</t>
  </si>
  <si>
    <t>葦北郡芦北町芦北２８１３</t>
  </si>
  <si>
    <t>葦北郡芦北町湯浦４０３番地１</t>
  </si>
  <si>
    <t>八代
（人吉）</t>
    <rPh sb="0" eb="2">
      <t>ヤツシロ</t>
    </rPh>
    <phoneticPr fontId="1"/>
  </si>
  <si>
    <t>人吉市南泉田町８９</t>
  </si>
  <si>
    <t>人吉市上青井町１７６</t>
  </si>
  <si>
    <t>人吉市南泉田町１</t>
  </si>
  <si>
    <t>球磨郡多良木町多良木４２１０</t>
  </si>
  <si>
    <t>人吉市老神町３５</t>
  </si>
  <si>
    <t>呼吸器内科、消化器内科、循環器内科、糖尿病・代謝・内分泌内科、血管外科</t>
  </si>
  <si>
    <t>人吉市下原田町字西門１１２５－２</t>
  </si>
  <si>
    <t>球磨郡あさぎり町岡原北９４６</t>
  </si>
  <si>
    <t>人吉市下林町２３２</t>
  </si>
  <si>
    <t>内分泌内科、人工透析内科</t>
  </si>
  <si>
    <t>人吉市下城本町１５０１</t>
  </si>
  <si>
    <t>人吉市瓦屋町字典子１７１８－１</t>
  </si>
  <si>
    <t>呼吸器内科、消化器内科、循環器内科</t>
  </si>
  <si>
    <t>人吉市下新町３５９番地</t>
  </si>
  <si>
    <t>天草市有明町小島子１３６０</t>
  </si>
  <si>
    <t>天草郡苓北町上津深江２７８－１０</t>
  </si>
  <si>
    <t>天草市五和町御領９０９３</t>
  </si>
  <si>
    <t>天草市今釜新町３４１３－６</t>
  </si>
  <si>
    <t>循環器内科、消化器内科、脳神経内科、人工透析内科、呼吸器外科、消化器外科、大腸・肛門外科、人工透析血管外科、胃腸内科、呼吸器内科</t>
  </si>
  <si>
    <t>天草市亀場町食場８５４－１</t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</si>
  <si>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1"/>
  </si>
  <si>
    <t>天草市東町１０１番地</t>
  </si>
  <si>
    <t>天草市佐伊津町５７８９</t>
  </si>
  <si>
    <t>天草市二浦町亀浦３１９８</t>
  </si>
  <si>
    <t>上天草市龍ケ岳町高戸１４１９－１９</t>
  </si>
  <si>
    <t>呼吸器内科、消化器内科、循環器内科、肛門外科、消化器外科、代謝内科、腎臓内科</t>
    <rPh sb="34" eb="36">
      <t>ジンゾウ</t>
    </rPh>
    <rPh sb="36" eb="38">
      <t>ナイカ</t>
    </rPh>
    <phoneticPr fontId="1"/>
  </si>
  <si>
    <t>天草市本町下河内９６４</t>
  </si>
  <si>
    <t>天草市太田町２－１</t>
  </si>
  <si>
    <t>糖尿病内科、漢方内科</t>
  </si>
  <si>
    <t>天草市牛深町１５２２－４６</t>
  </si>
  <si>
    <t>天草郡苓北町富岡３６００－３</t>
  </si>
  <si>
    <t>天草市牛深町３０５０番地</t>
  </si>
  <si>
    <t>天草市新和町小宮地７６３番地３</t>
  </si>
  <si>
    <t>天草市栖本町馬場２５６０－１４</t>
  </si>
  <si>
    <t>呼吸器内科、糖尿病内科（代謝内科）</t>
    <rPh sb="6" eb="9">
      <t>トウニョウビョウ</t>
    </rPh>
    <rPh sb="9" eb="11">
      <t>ナイカ</t>
    </rPh>
    <rPh sb="12" eb="14">
      <t>タイシャ</t>
    </rPh>
    <rPh sb="14" eb="16">
      <t>ナイカ</t>
    </rPh>
    <phoneticPr fontId="1"/>
  </si>
  <si>
    <t>天草市河浦町白木河内２２３番地１１</t>
  </si>
  <si>
    <t>天草郡苓北町志岐1215番地</t>
  </si>
  <si>
    <t>○</t>
    <phoneticPr fontId="1"/>
  </si>
  <si>
    <t>○</t>
    <phoneticPr fontId="1"/>
  </si>
  <si>
    <t>〇</t>
    <phoneticPr fontId="1"/>
  </si>
  <si>
    <t>呼吸器内科、消化器内科、循環器内科、脳神経内科、糖尿病・内分泌内科、感染症内科、血液内科、腫瘍内科、緩和ケア内科</t>
    <rPh sb="31" eb="32">
      <t>ナイ</t>
    </rPh>
    <rPh sb="40" eb="44">
      <t>ケツエキナイカ</t>
    </rPh>
    <rPh sb="45" eb="47">
      <t>シュヨウ</t>
    </rPh>
    <rPh sb="47" eb="49">
      <t>ナイカ</t>
    </rPh>
    <rPh sb="50" eb="52">
      <t>カンワ</t>
    </rPh>
    <rPh sb="54" eb="56">
      <t>ナイカ</t>
    </rPh>
    <phoneticPr fontId="1"/>
  </si>
  <si>
    <t>脳神経内科、代謝内科、感染症内科、腫瘍内科、呼吸器内科、消化器内科、循環器内科、消化器外科</t>
    <rPh sb="22" eb="27">
      <t>コキュウキナイカ</t>
    </rPh>
    <rPh sb="28" eb="33">
      <t>ショウカキナイカ</t>
    </rPh>
    <rPh sb="34" eb="39">
      <t>ジュンカンキナイカ</t>
    </rPh>
    <rPh sb="40" eb="43">
      <t>ショウカキ</t>
    </rPh>
    <rPh sb="43" eb="45">
      <t>ゲカ</t>
    </rPh>
    <phoneticPr fontId="1"/>
  </si>
  <si>
    <t>脳神経内科</t>
    <phoneticPr fontId="1"/>
  </si>
  <si>
    <t>阿蘇市黒川１２６６</t>
    <phoneticPr fontId="1"/>
  </si>
  <si>
    <t>上益城郡山都町滝上４７６－２</t>
    <phoneticPr fontId="1"/>
  </si>
  <si>
    <t>上益城郡嘉島町北甘木２０８３番地</t>
    <phoneticPr fontId="1"/>
  </si>
  <si>
    <t>861-2232</t>
    <phoneticPr fontId="1"/>
  </si>
  <si>
    <t>○</t>
    <phoneticPr fontId="1"/>
  </si>
  <si>
    <t>864-0032</t>
    <phoneticPr fontId="1"/>
  </si>
  <si>
    <t>○</t>
    <phoneticPr fontId="1"/>
  </si>
  <si>
    <t>○</t>
    <phoneticPr fontId="1"/>
  </si>
  <si>
    <t>〇</t>
    <phoneticPr fontId="1"/>
  </si>
  <si>
    <t>867-0008</t>
    <phoneticPr fontId="1"/>
  </si>
  <si>
    <t>867-0045</t>
    <phoneticPr fontId="1"/>
  </si>
  <si>
    <t>869-5441</t>
    <phoneticPr fontId="1"/>
  </si>
  <si>
    <t>荒尾市増永１５４４－１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</si>
</sst>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0000"/>
  </numFmts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57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textRotation="255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57" fontId="2" fillId="0" borderId="0" xfId="0" applyNumberFormat="1" applyFont="1" applyFill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2" fillId="3" borderId="4" xfId="0" applyFont="1" applyFill="1" applyBorder="1" applyAlignment="1">
      <alignment horizontal="left" vertical="center"/>
    </xf>
    <xf numFmtId="17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176" fontId="2" fillId="3" borderId="5" xfId="0" applyNumberFormat="1" applyFont="1" applyFill="1" applyBorder="1" applyAlignment="1">
      <alignment horizontal="center" vertical="center"/>
    </xf>
    <xf numFmtId="0" fontId="2" fillId="2" borderId="9" xfId="0" quotePrefix="1" applyNumberFormat="1" applyFont="1" applyFill="1" applyBorder="1" applyAlignment="1">
      <alignment horizontal="center" vertical="center" textRotation="255"/>
    </xf>
    <xf numFmtId="0" fontId="2" fillId="2" borderId="8" xfId="0" quotePrefix="1" applyNumberFormat="1" applyFont="1" applyFill="1" applyBorder="1" applyAlignment="1">
      <alignment horizontal="center" vertical="center" textRotation="255"/>
    </xf>
    <xf numFmtId="0" fontId="2" fillId="2" borderId="7" xfId="0" quotePrefix="1" applyNumberFormat="1" applyFont="1" applyFill="1" applyBorder="1" applyAlignment="1">
      <alignment horizontal="center" vertical="center" textRotation="255"/>
    </xf>
    <xf numFmtId="57" fontId="2" fillId="2" borderId="9" xfId="0" quotePrefix="1" applyNumberFormat="1" applyFont="1" applyFill="1" applyBorder="1" applyAlignment="1">
      <alignment horizontal="center" vertical="center" textRotation="255" shrinkToFit="1"/>
    </xf>
    <xf numFmtId="57" fontId="2" fillId="2" borderId="8" xfId="0" quotePrefix="1" applyNumberFormat="1" applyFont="1" applyFill="1" applyBorder="1" applyAlignment="1">
      <alignment horizontal="center" vertical="center" textRotation="255" shrinkToFit="1"/>
    </xf>
    <xf numFmtId="57" fontId="2" fillId="2" borderId="7" xfId="0" quotePrefix="1" applyNumberFormat="1" applyFont="1" applyFill="1" applyBorder="1" applyAlignment="1">
      <alignment horizontal="center" vertical="center" textRotation="255" shrinkToFit="1"/>
    </xf>
    <xf numFmtId="57" fontId="2" fillId="2" borderId="1" xfId="0" quotePrefix="1" applyNumberFormat="1" applyFont="1" applyFill="1" applyBorder="1" applyAlignment="1">
      <alignment horizontal="center" vertical="center" textRotation="255" shrinkToFit="1"/>
    </xf>
    <xf numFmtId="0" fontId="2" fillId="2" borderId="2" xfId="0" quotePrefix="1" applyNumberFormat="1" applyFont="1" applyFill="1" applyBorder="1" applyAlignment="1">
      <alignment horizontal="center" vertical="center" textRotation="255" shrinkToFit="1"/>
    </xf>
    <xf numFmtId="0" fontId="2" fillId="2" borderId="1" xfId="0" quotePrefix="1" applyNumberFormat="1" applyFont="1" applyFill="1" applyBorder="1" applyAlignment="1">
      <alignment horizontal="center" vertical="center" textRotation="255" shrinkToFit="1"/>
    </xf>
    <xf numFmtId="0" fontId="2" fillId="2" borderId="10" xfId="0" quotePrefix="1" applyNumberFormat="1" applyFont="1" applyFill="1" applyBorder="1" applyAlignment="1">
      <alignment horizontal="center" vertical="center" textRotation="255" shrinkToFit="1"/>
    </xf>
    <xf numFmtId="0" fontId="2" fillId="2" borderId="6" xfId="0" quotePrefix="1" applyNumberFormat="1" applyFont="1" applyFill="1" applyBorder="1" applyAlignment="1">
      <alignment horizontal="center" vertical="center" textRotation="255" shrinkToFit="1"/>
    </xf>
    <xf numFmtId="0" fontId="2" fillId="4" borderId="8" xfId="0" quotePrefix="1" applyNumberFormat="1" applyFont="1" applyFill="1" applyBorder="1" applyAlignment="1">
      <alignment horizontal="center" vertical="center" textRotation="255" shrinkToFit="1"/>
    </xf>
    <xf numFmtId="0" fontId="2" fillId="4" borderId="7" xfId="0" quotePrefix="1" applyNumberFormat="1" applyFont="1" applyFill="1" applyBorder="1" applyAlignment="1">
      <alignment horizontal="center" vertical="center" textRotation="255" shrinkToFit="1"/>
    </xf>
    <xf numFmtId="0" fontId="2" fillId="2" borderId="9" xfId="0" quotePrefix="1" applyNumberFormat="1" applyFont="1" applyFill="1" applyBorder="1" applyAlignment="1">
      <alignment horizontal="center" vertical="center" textRotation="255" shrinkToFit="1"/>
    </xf>
    <xf numFmtId="0" fontId="2" fillId="2" borderId="7" xfId="0" quotePrefix="1" applyNumberFormat="1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left" vertical="center"/>
    </xf>
    <xf numFmtId="0" fontId="2" fillId="2" borderId="1" xfId="0" quotePrefix="1" applyNumberFormat="1" applyFont="1" applyFill="1" applyBorder="1" applyAlignment="1">
      <alignment horizontal="center" vertical="center" textRotation="255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6"/>
  <sheetViews>
    <sheetView tabSelected="1" view="pageBreakPreview" zoomScale="95" zoomScaleNormal="95" zoomScaleSheetLayoutView="95" workbookViewId="0">
      <pane xSplit="3" ySplit="4" topLeftCell="D5" activePane="bottomRight" state="frozen"/>
      <selection pane="topRight" activeCell="F1" sqref="F1"/>
      <selection pane="bottomLeft" activeCell="A4" sqref="A4"/>
      <selection pane="bottomRight" activeCell="C2" sqref="C2:C4"/>
    </sheetView>
  </sheetViews>
  <sheetFormatPr defaultRowHeight="12" x14ac:dyDescent="0.15"/>
  <cols>
    <col min="1" max="1" width="4.140625" style="1" customWidth="1"/>
    <col min="2" max="2" width="8.28515625" style="6" customWidth="1"/>
    <col min="3" max="3" width="27.5703125" style="2" customWidth="1"/>
    <col min="4" max="4" width="10.28515625" style="6" customWidth="1"/>
    <col min="5" max="5" width="31.5703125" style="2" customWidth="1"/>
    <col min="6" max="6" width="14.42578125" style="6" customWidth="1"/>
    <col min="7" max="7" width="31.28515625" style="2" customWidth="1"/>
    <col min="8" max="8" width="22.28515625" style="17" customWidth="1"/>
    <col min="9" max="9" width="10.42578125" style="17" customWidth="1"/>
    <col min="10" max="10" width="7.140625" style="4" customWidth="1"/>
    <col min="11" max="13" width="5.7109375" style="5" bestFit="1" customWidth="1"/>
    <col min="14" max="15" width="4.28515625" style="5" customWidth="1"/>
    <col min="16" max="53" width="3.7109375" style="6" customWidth="1"/>
    <col min="54" max="54" width="38.42578125" style="3" customWidth="1"/>
    <col min="55" max="16384" width="9.140625" style="1"/>
  </cols>
  <sheetData>
    <row r="1" spans="1:54" ht="14.25" x14ac:dyDescent="0.15">
      <c r="B1" s="52" t="s">
        <v>109</v>
      </c>
      <c r="C1" s="52"/>
      <c r="D1" s="52"/>
      <c r="E1" s="52"/>
    </row>
    <row r="2" spans="1:54" ht="12" customHeight="1" x14ac:dyDescent="0.15">
      <c r="B2" s="45" t="s">
        <v>105</v>
      </c>
      <c r="C2" s="53" t="s">
        <v>52</v>
      </c>
      <c r="D2" s="45" t="s">
        <v>1</v>
      </c>
      <c r="E2" s="45" t="s">
        <v>0</v>
      </c>
      <c r="F2" s="45" t="s">
        <v>2</v>
      </c>
      <c r="G2" s="53" t="s">
        <v>3</v>
      </c>
      <c r="H2" s="43" t="s">
        <v>46</v>
      </c>
      <c r="I2" s="43" t="s">
        <v>111</v>
      </c>
      <c r="J2" s="44" t="s">
        <v>53</v>
      </c>
      <c r="K2" s="20"/>
      <c r="L2" s="19"/>
      <c r="M2" s="20"/>
      <c r="N2" s="20"/>
      <c r="O2" s="21"/>
      <c r="P2" s="37" t="s">
        <v>7</v>
      </c>
      <c r="Q2" s="37" t="s">
        <v>8</v>
      </c>
      <c r="R2" s="37" t="s">
        <v>9</v>
      </c>
      <c r="S2" s="37" t="s">
        <v>10</v>
      </c>
      <c r="T2" s="37" t="s">
        <v>11</v>
      </c>
      <c r="U2" s="37" t="s">
        <v>12</v>
      </c>
      <c r="V2" s="37" t="s">
        <v>13</v>
      </c>
      <c r="W2" s="37" t="s">
        <v>14</v>
      </c>
      <c r="X2" s="37" t="s">
        <v>15</v>
      </c>
      <c r="Y2" s="37" t="s">
        <v>16</v>
      </c>
      <c r="Z2" s="37" t="s">
        <v>17</v>
      </c>
      <c r="AA2" s="37" t="s">
        <v>18</v>
      </c>
      <c r="AB2" s="37" t="s">
        <v>19</v>
      </c>
      <c r="AC2" s="37" t="s">
        <v>20</v>
      </c>
      <c r="AD2" s="37" t="s">
        <v>21</v>
      </c>
      <c r="AE2" s="37" t="s">
        <v>22</v>
      </c>
      <c r="AF2" s="37" t="s">
        <v>23</v>
      </c>
      <c r="AG2" s="37" t="s">
        <v>24</v>
      </c>
      <c r="AH2" s="37" t="s">
        <v>25</v>
      </c>
      <c r="AI2" s="37" t="s">
        <v>26</v>
      </c>
      <c r="AJ2" s="37" t="s">
        <v>27</v>
      </c>
      <c r="AK2" s="37" t="s">
        <v>28</v>
      </c>
      <c r="AL2" s="37" t="s">
        <v>29</v>
      </c>
      <c r="AM2" s="37" t="s">
        <v>30</v>
      </c>
      <c r="AN2" s="37" t="s">
        <v>31</v>
      </c>
      <c r="AO2" s="37" t="s">
        <v>32</v>
      </c>
      <c r="AP2" s="37" t="s">
        <v>33</v>
      </c>
      <c r="AQ2" s="37" t="s">
        <v>34</v>
      </c>
      <c r="AR2" s="37" t="s">
        <v>48</v>
      </c>
      <c r="AS2" s="37" t="s">
        <v>35</v>
      </c>
      <c r="AT2" s="37" t="s">
        <v>36</v>
      </c>
      <c r="AU2" s="37" t="s">
        <v>40</v>
      </c>
      <c r="AV2" s="37" t="s">
        <v>41</v>
      </c>
      <c r="AW2" s="37" t="s">
        <v>42</v>
      </c>
      <c r="AX2" s="37" t="s">
        <v>37</v>
      </c>
      <c r="AY2" s="37" t="s">
        <v>38</v>
      </c>
      <c r="AZ2" s="37" t="s">
        <v>39</v>
      </c>
      <c r="BA2" s="37" t="s">
        <v>43</v>
      </c>
      <c r="BB2" s="40" t="s">
        <v>47</v>
      </c>
    </row>
    <row r="3" spans="1:54" ht="14.25" customHeight="1" x14ac:dyDescent="0.15">
      <c r="B3" s="45"/>
      <c r="C3" s="53"/>
      <c r="D3" s="45"/>
      <c r="E3" s="45"/>
      <c r="F3" s="45"/>
      <c r="G3" s="53"/>
      <c r="H3" s="43"/>
      <c r="I3" s="43"/>
      <c r="J3" s="45"/>
      <c r="K3" s="46" t="s">
        <v>6</v>
      </c>
      <c r="L3" s="45" t="s">
        <v>45</v>
      </c>
      <c r="M3" s="50" t="s">
        <v>4</v>
      </c>
      <c r="N3" s="48" t="s">
        <v>5</v>
      </c>
      <c r="O3" s="48" t="s">
        <v>44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41"/>
    </row>
    <row r="4" spans="1:54" s="7" customFormat="1" ht="161.25" customHeight="1" x14ac:dyDescent="0.15">
      <c r="B4" s="45"/>
      <c r="C4" s="53"/>
      <c r="D4" s="45"/>
      <c r="E4" s="45"/>
      <c r="F4" s="45"/>
      <c r="G4" s="53"/>
      <c r="H4" s="43"/>
      <c r="I4" s="43"/>
      <c r="J4" s="45"/>
      <c r="K4" s="47"/>
      <c r="L4" s="45"/>
      <c r="M4" s="51"/>
      <c r="N4" s="49"/>
      <c r="O4" s="4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42"/>
    </row>
    <row r="5" spans="1:54" s="32" customFormat="1" ht="63" customHeight="1" x14ac:dyDescent="0.15">
      <c r="A5" s="32">
        <v>1</v>
      </c>
      <c r="B5" s="14" t="s">
        <v>107</v>
      </c>
      <c r="C5" s="9" t="str">
        <f>"荒尾市民病院"</f>
        <v>荒尾市民病院</v>
      </c>
      <c r="D5" s="16" t="str">
        <f>"864-0041"</f>
        <v>864-0041</v>
      </c>
      <c r="E5" s="8" t="s">
        <v>91</v>
      </c>
      <c r="F5" s="15">
        <v>968631115</v>
      </c>
      <c r="G5" s="9" t="str">
        <f>"荒尾市"</f>
        <v>荒尾市</v>
      </c>
      <c r="H5" s="18">
        <v>17989</v>
      </c>
      <c r="I5" s="18" t="s">
        <v>112</v>
      </c>
      <c r="J5" s="10">
        <f>K5+L5+M5+N5+O5</f>
        <v>274</v>
      </c>
      <c r="K5" s="27">
        <v>270</v>
      </c>
      <c r="L5" s="11">
        <v>0</v>
      </c>
      <c r="M5" s="11">
        <v>0</v>
      </c>
      <c r="N5" s="28">
        <v>0</v>
      </c>
      <c r="O5" s="28">
        <v>4</v>
      </c>
      <c r="P5" s="29" t="s">
        <v>220</v>
      </c>
      <c r="Q5" s="29"/>
      <c r="R5" s="29"/>
      <c r="S5" s="29"/>
      <c r="T5" s="29"/>
      <c r="U5" s="29" t="s">
        <v>49</v>
      </c>
      <c r="V5" s="29" t="s">
        <v>115</v>
      </c>
      <c r="W5" s="29"/>
      <c r="X5" s="29"/>
      <c r="Y5" s="29" t="s">
        <v>49</v>
      </c>
      <c r="Z5" s="29" t="s">
        <v>49</v>
      </c>
      <c r="AA5" s="29" t="s">
        <v>49</v>
      </c>
      <c r="AB5" s="29"/>
      <c r="AC5" s="29" t="s">
        <v>49</v>
      </c>
      <c r="AD5" s="29"/>
      <c r="AE5" s="29"/>
      <c r="AF5" s="29"/>
      <c r="AG5" s="29" t="s">
        <v>49</v>
      </c>
      <c r="AH5" s="29"/>
      <c r="AI5" s="29"/>
      <c r="AJ5" s="29" t="s">
        <v>49</v>
      </c>
      <c r="AK5" s="29" t="s">
        <v>49</v>
      </c>
      <c r="AL5" s="29"/>
      <c r="AM5" s="29"/>
      <c r="AN5" s="29" t="s">
        <v>49</v>
      </c>
      <c r="AO5" s="29" t="s">
        <v>49</v>
      </c>
      <c r="AP5" s="29"/>
      <c r="AQ5" s="29"/>
      <c r="AR5" s="29" t="s">
        <v>49</v>
      </c>
      <c r="AS5" s="29"/>
      <c r="AT5" s="29" t="s">
        <v>49</v>
      </c>
      <c r="AU5" s="29"/>
      <c r="AV5" s="29"/>
      <c r="AW5" s="29"/>
      <c r="AX5" s="29"/>
      <c r="AY5" s="29"/>
      <c r="AZ5" s="29"/>
      <c r="BA5" s="29"/>
      <c r="BB5" s="30" t="s">
        <v>113</v>
      </c>
    </row>
    <row r="6" spans="1:54" s="32" customFormat="1" ht="24.75" customHeight="1" x14ac:dyDescent="0.15">
      <c r="A6" s="32">
        <v>2</v>
      </c>
      <c r="B6" s="14" t="s">
        <v>107</v>
      </c>
      <c r="C6" s="9" t="str">
        <f>"荒尾中央病院"</f>
        <v>荒尾中央病院</v>
      </c>
      <c r="D6" s="16" t="s">
        <v>230</v>
      </c>
      <c r="E6" s="8" t="s">
        <v>237</v>
      </c>
      <c r="F6" s="15">
        <v>968641333</v>
      </c>
      <c r="G6" s="9" t="str">
        <f>"医療法人　洗心会"</f>
        <v>医療法人　洗心会</v>
      </c>
      <c r="H6" s="18">
        <v>30053</v>
      </c>
      <c r="I6" s="18" t="s">
        <v>112</v>
      </c>
      <c r="J6" s="10">
        <f t="shared" ref="J6:J45" si="0">K6+L6+M6+N6+O6</f>
        <v>240</v>
      </c>
      <c r="K6" s="11">
        <v>0</v>
      </c>
      <c r="L6" s="11">
        <v>240</v>
      </c>
      <c r="M6" s="11">
        <v>0</v>
      </c>
      <c r="N6" s="11">
        <v>0</v>
      </c>
      <c r="O6" s="11">
        <v>0</v>
      </c>
      <c r="P6" s="12" t="s">
        <v>220</v>
      </c>
      <c r="Q6" s="12"/>
      <c r="R6" s="12"/>
      <c r="S6" s="12"/>
      <c r="T6" s="12"/>
      <c r="U6" s="12"/>
      <c r="V6" s="12" t="s">
        <v>220</v>
      </c>
      <c r="W6" s="12"/>
      <c r="X6" s="12" t="s">
        <v>49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 t="s">
        <v>49</v>
      </c>
      <c r="AO6" s="12"/>
      <c r="AP6" s="12"/>
      <c r="AQ6" s="12"/>
      <c r="AR6" s="12" t="s">
        <v>49</v>
      </c>
      <c r="AS6" s="12" t="s">
        <v>49</v>
      </c>
      <c r="AT6" s="12"/>
      <c r="AU6" s="12"/>
      <c r="AV6" s="12"/>
      <c r="AW6" s="12"/>
      <c r="AX6" s="12"/>
      <c r="AY6" s="12"/>
      <c r="AZ6" s="12"/>
      <c r="BA6" s="12"/>
      <c r="BB6" s="9" t="s">
        <v>92</v>
      </c>
    </row>
    <row r="7" spans="1:54" s="32" customFormat="1" ht="24.75" customHeight="1" x14ac:dyDescent="0.15">
      <c r="A7" s="32">
        <v>3</v>
      </c>
      <c r="B7" s="14" t="s">
        <v>107</v>
      </c>
      <c r="C7" s="9" t="str">
        <f>"荒尾こころの郷病院"</f>
        <v>荒尾こころの郷病院</v>
      </c>
      <c r="D7" s="16" t="str">
        <f>"864-0041"</f>
        <v>864-0041</v>
      </c>
      <c r="E7" s="8" t="s">
        <v>93</v>
      </c>
      <c r="F7" s="15">
        <v>968620657</v>
      </c>
      <c r="G7" s="9" t="str">
        <f>"医療法人　洗心会"</f>
        <v>医療法人　洗心会</v>
      </c>
      <c r="H7" s="18">
        <v>25147</v>
      </c>
      <c r="I7" s="18" t="s">
        <v>112</v>
      </c>
      <c r="J7" s="10">
        <f t="shared" si="0"/>
        <v>272</v>
      </c>
      <c r="K7" s="11">
        <v>0</v>
      </c>
      <c r="L7" s="11">
        <v>0</v>
      </c>
      <c r="M7" s="11">
        <v>272</v>
      </c>
      <c r="N7" s="11">
        <v>0</v>
      </c>
      <c r="O7" s="11">
        <v>0</v>
      </c>
      <c r="P7" s="12" t="s">
        <v>115</v>
      </c>
      <c r="Q7" s="12"/>
      <c r="R7" s="12"/>
      <c r="S7" s="12"/>
      <c r="T7" s="12"/>
      <c r="U7" s="12"/>
      <c r="V7" s="12" t="s">
        <v>219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 t="s">
        <v>219</v>
      </c>
      <c r="AV7" s="12"/>
      <c r="AW7" s="12"/>
      <c r="AX7" s="12" t="s">
        <v>49</v>
      </c>
      <c r="AY7" s="12"/>
      <c r="AZ7" s="12"/>
      <c r="BA7" s="12"/>
      <c r="BB7" s="9"/>
    </row>
    <row r="8" spans="1:54" s="32" customFormat="1" ht="24.75" customHeight="1" x14ac:dyDescent="0.15">
      <c r="A8" s="32">
        <v>4</v>
      </c>
      <c r="B8" s="14" t="s">
        <v>107</v>
      </c>
      <c r="C8" s="9" t="str">
        <f>"有明成仁病院"</f>
        <v>有明成仁病院</v>
      </c>
      <c r="D8" s="16" t="str">
        <f>"869-0101"</f>
        <v>869-0101</v>
      </c>
      <c r="E8" s="8" t="s">
        <v>94</v>
      </c>
      <c r="F8" s="15">
        <v>968781133</v>
      </c>
      <c r="G8" s="9" t="str">
        <f>"医療法人社団　聖和会"</f>
        <v>医療法人社団　聖和会</v>
      </c>
      <c r="H8" s="18">
        <v>29570</v>
      </c>
      <c r="I8" s="18" t="s">
        <v>112</v>
      </c>
      <c r="J8" s="10">
        <f t="shared" si="0"/>
        <v>89</v>
      </c>
      <c r="K8" s="11">
        <v>0</v>
      </c>
      <c r="L8" s="11">
        <v>89</v>
      </c>
      <c r="M8" s="11">
        <v>0</v>
      </c>
      <c r="N8" s="11">
        <v>0</v>
      </c>
      <c r="O8" s="11">
        <v>0</v>
      </c>
      <c r="P8" s="12" t="s">
        <v>220</v>
      </c>
      <c r="Q8" s="12"/>
      <c r="R8" s="12" t="s">
        <v>49</v>
      </c>
      <c r="S8" s="12"/>
      <c r="T8" s="12" t="s">
        <v>49</v>
      </c>
      <c r="U8" s="12" t="s">
        <v>49</v>
      </c>
      <c r="V8" s="12"/>
      <c r="W8" s="12"/>
      <c r="X8" s="12" t="s">
        <v>49</v>
      </c>
      <c r="Y8" s="12"/>
      <c r="Z8" s="12" t="s">
        <v>49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 t="s">
        <v>49</v>
      </c>
      <c r="AS8" s="12"/>
      <c r="AT8" s="12"/>
      <c r="AU8" s="12"/>
      <c r="AV8" s="12"/>
      <c r="AW8" s="12" t="s">
        <v>49</v>
      </c>
      <c r="AX8" s="12"/>
      <c r="AY8" s="12"/>
      <c r="AZ8" s="12"/>
      <c r="BA8" s="12"/>
      <c r="BB8" s="9"/>
    </row>
    <row r="9" spans="1:54" s="32" customFormat="1" ht="24.75" customHeight="1" x14ac:dyDescent="0.15">
      <c r="A9" s="32">
        <v>5</v>
      </c>
      <c r="B9" s="14" t="s">
        <v>107</v>
      </c>
      <c r="C9" s="9" t="str">
        <f>"有働病院"</f>
        <v>有働病院</v>
      </c>
      <c r="D9" s="16" t="str">
        <f>"864-0002"</f>
        <v>864-0002</v>
      </c>
      <c r="E9" s="8" t="s">
        <v>95</v>
      </c>
      <c r="F9" s="15">
        <v>968621138</v>
      </c>
      <c r="G9" s="9" t="str">
        <f>"医療法人　有働会"</f>
        <v>医療法人　有働会</v>
      </c>
      <c r="H9" s="18">
        <v>20946</v>
      </c>
      <c r="I9" s="18" t="s">
        <v>112</v>
      </c>
      <c r="J9" s="10">
        <f t="shared" si="0"/>
        <v>275</v>
      </c>
      <c r="K9" s="11">
        <v>0</v>
      </c>
      <c r="L9" s="11">
        <v>0</v>
      </c>
      <c r="M9" s="11">
        <v>275</v>
      </c>
      <c r="N9" s="11">
        <v>0</v>
      </c>
      <c r="O9" s="11">
        <v>0</v>
      </c>
      <c r="P9" s="12"/>
      <c r="Q9" s="12"/>
      <c r="R9" s="12"/>
      <c r="S9" s="12"/>
      <c r="T9" s="12"/>
      <c r="U9" s="12"/>
      <c r="V9" s="12" t="s">
        <v>219</v>
      </c>
      <c r="W9" s="12" t="s">
        <v>220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 t="s">
        <v>115</v>
      </c>
      <c r="AV9" s="12"/>
      <c r="AW9" s="12"/>
      <c r="AX9" s="12"/>
      <c r="AY9" s="12"/>
      <c r="AZ9" s="12"/>
      <c r="BA9" s="12"/>
      <c r="BB9" s="9" t="s">
        <v>96</v>
      </c>
    </row>
    <row r="10" spans="1:54" s="32" customFormat="1" ht="24.75" customHeight="1" x14ac:dyDescent="0.15">
      <c r="A10" s="32">
        <v>6</v>
      </c>
      <c r="B10" s="14" t="s">
        <v>107</v>
      </c>
      <c r="C10" s="9" t="str">
        <f>"新生翠病院"</f>
        <v>新生翠病院</v>
      </c>
      <c r="D10" s="16" t="str">
        <f>"864-0032"</f>
        <v>864-0032</v>
      </c>
      <c r="E10" s="8" t="s">
        <v>97</v>
      </c>
      <c r="F10" s="15">
        <v>968620525</v>
      </c>
      <c r="G10" s="9" t="str">
        <f>"医療法人　杏林会"</f>
        <v>医療法人　杏林会</v>
      </c>
      <c r="H10" s="18">
        <v>20616</v>
      </c>
      <c r="I10" s="18" t="s">
        <v>112</v>
      </c>
      <c r="J10" s="10">
        <f t="shared" si="0"/>
        <v>99</v>
      </c>
      <c r="K10" s="11">
        <v>50</v>
      </c>
      <c r="L10" s="11">
        <v>49</v>
      </c>
      <c r="M10" s="11">
        <v>0</v>
      </c>
      <c r="N10" s="11">
        <v>0</v>
      </c>
      <c r="O10" s="11">
        <v>0</v>
      </c>
      <c r="P10" s="12" t="s">
        <v>115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 t="s">
        <v>49</v>
      </c>
      <c r="AS10" s="12" t="s">
        <v>49</v>
      </c>
      <c r="AT10" s="12"/>
      <c r="AU10" s="12"/>
      <c r="AV10" s="12"/>
      <c r="AW10" s="12"/>
      <c r="AX10" s="12"/>
      <c r="AY10" s="12"/>
      <c r="AZ10" s="12"/>
      <c r="BA10" s="12"/>
      <c r="BB10" s="9" t="s">
        <v>98</v>
      </c>
    </row>
    <row r="11" spans="1:54" s="32" customFormat="1" ht="24.75" customHeight="1" x14ac:dyDescent="0.15">
      <c r="A11" s="32">
        <v>7</v>
      </c>
      <c r="B11" s="14" t="s">
        <v>107</v>
      </c>
      <c r="C11" s="9" t="str">
        <f>"城ヶ崎病院"</f>
        <v>城ヶ崎病院</v>
      </c>
      <c r="D11" s="16" t="str">
        <f>"865-0041"</f>
        <v>865-0041</v>
      </c>
      <c r="E11" s="8" t="s">
        <v>99</v>
      </c>
      <c r="F11" s="15">
        <v>968733375</v>
      </c>
      <c r="G11" s="9" t="str">
        <f>"医療法人信和会"</f>
        <v>医療法人信和会</v>
      </c>
      <c r="H11" s="18">
        <v>23806</v>
      </c>
      <c r="I11" s="18" t="s">
        <v>112</v>
      </c>
      <c r="J11" s="10">
        <f t="shared" si="0"/>
        <v>184</v>
      </c>
      <c r="K11" s="11">
        <v>0</v>
      </c>
      <c r="L11" s="11">
        <v>0</v>
      </c>
      <c r="M11" s="11">
        <v>184</v>
      </c>
      <c r="N11" s="11">
        <v>0</v>
      </c>
      <c r="O11" s="11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 t="s">
        <v>220</v>
      </c>
      <c r="AV11" s="12"/>
      <c r="AW11" s="12"/>
      <c r="AX11" s="12"/>
      <c r="AY11" s="12"/>
      <c r="AZ11" s="12"/>
      <c r="BA11" s="12"/>
      <c r="BB11" s="9" t="s">
        <v>100</v>
      </c>
    </row>
    <row r="12" spans="1:54" s="32" customFormat="1" ht="24.75" customHeight="1" x14ac:dyDescent="0.15">
      <c r="A12" s="32">
        <v>8</v>
      </c>
      <c r="B12" s="14" t="s">
        <v>107</v>
      </c>
      <c r="C12" s="9" t="str">
        <f>"玉名病院"</f>
        <v>玉名病院</v>
      </c>
      <c r="D12" s="16" t="str">
        <f>"865-0065"</f>
        <v>865-0065</v>
      </c>
      <c r="E12" s="8" t="s">
        <v>101</v>
      </c>
      <c r="F12" s="15">
        <v>968725155</v>
      </c>
      <c r="G12" s="9" t="str">
        <f>"医療法人　信愛会"</f>
        <v>医療法人　信愛会</v>
      </c>
      <c r="H12" s="18">
        <v>29971</v>
      </c>
      <c r="I12" s="18" t="s">
        <v>112</v>
      </c>
      <c r="J12" s="10">
        <f t="shared" si="0"/>
        <v>175</v>
      </c>
      <c r="K12" s="11">
        <v>0</v>
      </c>
      <c r="L12" s="11">
        <v>0</v>
      </c>
      <c r="M12" s="11">
        <v>175</v>
      </c>
      <c r="N12" s="11">
        <v>0</v>
      </c>
      <c r="O12" s="11">
        <v>0</v>
      </c>
      <c r="P12" s="12"/>
      <c r="Q12" s="12"/>
      <c r="R12" s="12"/>
      <c r="S12" s="12"/>
      <c r="T12" s="12"/>
      <c r="U12" s="12"/>
      <c r="V12" s="12" t="s">
        <v>220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 t="s">
        <v>50</v>
      </c>
    </row>
    <row r="13" spans="1:54" s="32" customFormat="1" ht="24.75" customHeight="1" x14ac:dyDescent="0.15">
      <c r="A13" s="32">
        <v>9</v>
      </c>
      <c r="B13" s="14" t="s">
        <v>107</v>
      </c>
      <c r="C13" s="9" t="str">
        <f>"悠紀会病院"</f>
        <v>悠紀会病院</v>
      </c>
      <c r="D13" s="16" t="str">
        <f>"865-0011"</f>
        <v>865-0011</v>
      </c>
      <c r="E13" s="8" t="s">
        <v>102</v>
      </c>
      <c r="F13" s="15">
        <v>968741131</v>
      </c>
      <c r="G13" s="9" t="str">
        <f>"医療法人　悠紀会"</f>
        <v>医療法人　悠紀会</v>
      </c>
      <c r="H13" s="18">
        <v>33390</v>
      </c>
      <c r="I13" s="18" t="s">
        <v>112</v>
      </c>
      <c r="J13" s="10">
        <f t="shared" si="0"/>
        <v>139</v>
      </c>
      <c r="K13" s="11">
        <v>0</v>
      </c>
      <c r="L13" s="11">
        <v>139</v>
      </c>
      <c r="M13" s="11">
        <v>0</v>
      </c>
      <c r="N13" s="11">
        <v>0</v>
      </c>
      <c r="O13" s="11">
        <v>0</v>
      </c>
      <c r="P13" s="12" t="s">
        <v>220</v>
      </c>
      <c r="Q13" s="12" t="s">
        <v>49</v>
      </c>
      <c r="R13" s="12" t="s">
        <v>49</v>
      </c>
      <c r="S13" s="12"/>
      <c r="T13" s="12"/>
      <c r="U13" s="12"/>
      <c r="V13" s="12"/>
      <c r="W13" s="12"/>
      <c r="X13" s="12" t="s">
        <v>49</v>
      </c>
      <c r="Y13" s="12"/>
      <c r="Z13" s="12"/>
      <c r="AA13" s="12"/>
      <c r="AB13" s="12"/>
      <c r="AC13" s="12" t="s">
        <v>110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 t="s">
        <v>49</v>
      </c>
      <c r="AS13" s="12"/>
      <c r="AT13" s="12"/>
      <c r="AU13" s="12"/>
      <c r="AV13" s="12"/>
      <c r="AW13" s="12"/>
      <c r="AX13" s="12" t="s">
        <v>49</v>
      </c>
      <c r="AY13" s="12"/>
      <c r="AZ13" s="12"/>
      <c r="BA13" s="12"/>
      <c r="BB13" s="9" t="s">
        <v>51</v>
      </c>
    </row>
    <row r="14" spans="1:54" s="32" customFormat="1" ht="24.75" customHeight="1" x14ac:dyDescent="0.15">
      <c r="A14" s="32">
        <v>10</v>
      </c>
      <c r="B14" s="14" t="s">
        <v>107</v>
      </c>
      <c r="C14" s="9" t="str">
        <f>"国民健康保険　和水町立病院"</f>
        <v>国民健康保険　和水町立病院</v>
      </c>
      <c r="D14" s="16" t="str">
        <f>"865-0136"</f>
        <v>865-0136</v>
      </c>
      <c r="E14" s="8" t="s">
        <v>103</v>
      </c>
      <c r="F14" s="15">
        <v>968863105</v>
      </c>
      <c r="G14" s="9" t="str">
        <f>"和水町"</f>
        <v>和水町</v>
      </c>
      <c r="H14" s="18">
        <v>38777</v>
      </c>
      <c r="I14" s="18" t="s">
        <v>112</v>
      </c>
      <c r="J14" s="10">
        <f t="shared" si="0"/>
        <v>91</v>
      </c>
      <c r="K14" s="11">
        <v>49</v>
      </c>
      <c r="L14" s="11">
        <v>42</v>
      </c>
      <c r="M14" s="11">
        <v>0</v>
      </c>
      <c r="N14" s="11">
        <v>0</v>
      </c>
      <c r="O14" s="11">
        <v>0</v>
      </c>
      <c r="P14" s="12" t="s">
        <v>220</v>
      </c>
      <c r="Q14" s="12"/>
      <c r="R14" s="12"/>
      <c r="S14" s="12"/>
      <c r="T14" s="12"/>
      <c r="U14" s="12" t="s">
        <v>49</v>
      </c>
      <c r="V14" s="12"/>
      <c r="W14" s="12"/>
      <c r="X14" s="12"/>
      <c r="Y14" s="12" t="s">
        <v>49</v>
      </c>
      <c r="Z14" s="12" t="s">
        <v>49</v>
      </c>
      <c r="AA14" s="12"/>
      <c r="AB14" s="12"/>
      <c r="AC14" s="12" t="s">
        <v>49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 t="s">
        <v>49</v>
      </c>
      <c r="AS14" s="12" t="s">
        <v>49</v>
      </c>
      <c r="AT14" s="12"/>
      <c r="AU14" s="12"/>
      <c r="AV14" s="12"/>
      <c r="AW14" s="12"/>
      <c r="AX14" s="12"/>
      <c r="AY14" s="12"/>
      <c r="AZ14" s="12"/>
      <c r="BA14" s="12"/>
      <c r="BB14" s="9"/>
    </row>
    <row r="15" spans="1:54" s="32" customFormat="1" ht="51.75" customHeight="1" x14ac:dyDescent="0.15">
      <c r="A15" s="32">
        <v>11</v>
      </c>
      <c r="B15" s="14" t="s">
        <v>107</v>
      </c>
      <c r="C15" s="9" t="str">
        <f>"くまもと県北病院"</f>
        <v>くまもと県北病院</v>
      </c>
      <c r="D15" s="16" t="str">
        <f>"865-0005"</f>
        <v>865-0005</v>
      </c>
      <c r="E15" s="8" t="s">
        <v>104</v>
      </c>
      <c r="F15" s="15">
        <v>968735000</v>
      </c>
      <c r="G15" s="9" t="str">
        <f>"地方独立行政法人　くまもと県北病院機構"</f>
        <v>地方独立行政法人　くまもと県北病院機構</v>
      </c>
      <c r="H15" s="18">
        <v>44256</v>
      </c>
      <c r="I15" s="18" t="s">
        <v>112</v>
      </c>
      <c r="J15" s="10">
        <f t="shared" si="0"/>
        <v>402</v>
      </c>
      <c r="K15" s="11">
        <v>402</v>
      </c>
      <c r="L15" s="11">
        <v>0</v>
      </c>
      <c r="M15" s="11">
        <v>0</v>
      </c>
      <c r="N15" s="11">
        <v>0</v>
      </c>
      <c r="O15" s="11">
        <v>0</v>
      </c>
      <c r="P15" s="12" t="s">
        <v>231</v>
      </c>
      <c r="Q15" s="12"/>
      <c r="R15" s="12"/>
      <c r="S15" s="12"/>
      <c r="T15" s="12"/>
      <c r="U15" s="12" t="s">
        <v>49</v>
      </c>
      <c r="V15" s="12" t="s">
        <v>49</v>
      </c>
      <c r="W15" s="12"/>
      <c r="X15" s="12"/>
      <c r="Y15" s="12" t="s">
        <v>49</v>
      </c>
      <c r="Z15" s="12" t="s">
        <v>49</v>
      </c>
      <c r="AA15" s="12"/>
      <c r="AB15" s="12"/>
      <c r="AC15" s="12" t="s">
        <v>49</v>
      </c>
      <c r="AD15" s="12" t="s">
        <v>49</v>
      </c>
      <c r="AE15" s="12"/>
      <c r="AF15" s="12"/>
      <c r="AG15" s="12"/>
      <c r="AH15" s="12"/>
      <c r="AI15" s="12" t="s">
        <v>49</v>
      </c>
      <c r="AJ15" s="12" t="s">
        <v>49</v>
      </c>
      <c r="AK15" s="13" t="s">
        <v>231</v>
      </c>
      <c r="AL15" s="12"/>
      <c r="AM15" s="12"/>
      <c r="AN15" s="12" t="s">
        <v>49</v>
      </c>
      <c r="AO15" s="12" t="s">
        <v>49</v>
      </c>
      <c r="AP15" s="12"/>
      <c r="AQ15" s="12"/>
      <c r="AR15" s="12" t="s">
        <v>49</v>
      </c>
      <c r="AS15" s="12" t="s">
        <v>49</v>
      </c>
      <c r="AT15" s="12" t="s">
        <v>49</v>
      </c>
      <c r="AU15" s="12"/>
      <c r="AV15" s="12" t="s">
        <v>49</v>
      </c>
      <c r="AW15" s="12" t="s">
        <v>49</v>
      </c>
      <c r="AX15" s="12"/>
      <c r="AY15" s="12"/>
      <c r="AZ15" s="12"/>
      <c r="BA15" s="13" t="s">
        <v>231</v>
      </c>
      <c r="BB15" s="9" t="s">
        <v>222</v>
      </c>
    </row>
    <row r="16" spans="1:54" s="32" customFormat="1" ht="24.75" customHeight="1" x14ac:dyDescent="0.15">
      <c r="A16" s="32">
        <v>12</v>
      </c>
      <c r="B16" s="14" t="s">
        <v>106</v>
      </c>
      <c r="C16" s="9" t="str">
        <f>"三森循環器科・呼吸器科病院"</f>
        <v>三森循環器科・呼吸器科病院</v>
      </c>
      <c r="D16" s="16" t="str">
        <f>"861-0517"</f>
        <v>861-0517</v>
      </c>
      <c r="E16" s="8" t="s">
        <v>54</v>
      </c>
      <c r="F16" s="15">
        <v>968421234</v>
      </c>
      <c r="G16" s="9" t="str">
        <f>"医療法人社団三森会"</f>
        <v>医療法人社団三森会</v>
      </c>
      <c r="H16" s="18">
        <v>37712</v>
      </c>
      <c r="I16" s="18" t="s">
        <v>112</v>
      </c>
      <c r="J16" s="10">
        <f>K16+L16+M16+N16+O16</f>
        <v>58</v>
      </c>
      <c r="K16" s="11">
        <v>58</v>
      </c>
      <c r="L16" s="11">
        <v>0</v>
      </c>
      <c r="M16" s="11">
        <v>0</v>
      </c>
      <c r="N16" s="11">
        <v>0</v>
      </c>
      <c r="O16" s="11">
        <v>0</v>
      </c>
      <c r="P16" s="12" t="s">
        <v>115</v>
      </c>
      <c r="Q16" s="12" t="s">
        <v>49</v>
      </c>
      <c r="R16" s="12" t="s">
        <v>49</v>
      </c>
      <c r="S16" s="12"/>
      <c r="T16" s="12" t="s">
        <v>49</v>
      </c>
      <c r="U16" s="12"/>
      <c r="V16" s="12"/>
      <c r="W16" s="12"/>
      <c r="X16" s="12" t="s">
        <v>49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 t="s">
        <v>49</v>
      </c>
      <c r="AS16" s="12"/>
      <c r="AT16" s="12"/>
      <c r="AU16" s="12"/>
      <c r="AV16" s="12" t="s">
        <v>49</v>
      </c>
      <c r="AW16" s="12"/>
      <c r="AX16" s="12"/>
      <c r="AY16" s="12"/>
      <c r="AZ16" s="12"/>
      <c r="BA16" s="12"/>
      <c r="BB16" s="9"/>
    </row>
    <row r="17" spans="1:54" s="32" customFormat="1" ht="24.75" customHeight="1" x14ac:dyDescent="0.15">
      <c r="A17" s="32">
        <v>13</v>
      </c>
      <c r="B17" s="14" t="s">
        <v>106</v>
      </c>
      <c r="C17" s="9" t="str">
        <f>"山鹿温泉リハビリテーション病院"</f>
        <v>山鹿温泉リハビリテーション病院</v>
      </c>
      <c r="D17" s="16" t="str">
        <f>"861-0514"</f>
        <v>861-0514</v>
      </c>
      <c r="E17" s="8" t="s">
        <v>55</v>
      </c>
      <c r="F17" s="15">
        <v>968434151</v>
      </c>
      <c r="G17" s="9" t="str">
        <f>"医療法人社団木星会"</f>
        <v>医療法人社団木星会</v>
      </c>
      <c r="H17" s="18">
        <v>33178</v>
      </c>
      <c r="I17" s="18" t="s">
        <v>112</v>
      </c>
      <c r="J17" s="10">
        <f t="shared" si="0"/>
        <v>101</v>
      </c>
      <c r="K17" s="11">
        <v>0</v>
      </c>
      <c r="L17" s="11">
        <v>101</v>
      </c>
      <c r="M17" s="11">
        <v>0</v>
      </c>
      <c r="N17" s="11">
        <v>0</v>
      </c>
      <c r="O17" s="11">
        <v>0</v>
      </c>
      <c r="P17" s="12" t="s">
        <v>115</v>
      </c>
      <c r="Q17" s="12"/>
      <c r="R17" s="12"/>
      <c r="S17" s="12"/>
      <c r="T17" s="12"/>
      <c r="U17" s="12"/>
      <c r="V17" s="12"/>
      <c r="W17" s="12"/>
      <c r="X17" s="12" t="s">
        <v>49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 t="s">
        <v>49</v>
      </c>
      <c r="AS17" s="12" t="s">
        <v>49</v>
      </c>
      <c r="AT17" s="12"/>
      <c r="AU17" s="12"/>
      <c r="AV17" s="12"/>
      <c r="AW17" s="12"/>
      <c r="AX17" s="12"/>
      <c r="AY17" s="12"/>
      <c r="AZ17" s="12"/>
      <c r="BA17" s="12"/>
      <c r="BB17" s="9" t="s">
        <v>56</v>
      </c>
    </row>
    <row r="18" spans="1:54" s="32" customFormat="1" ht="24.75" customHeight="1" x14ac:dyDescent="0.15">
      <c r="A18" s="32">
        <v>14</v>
      </c>
      <c r="B18" s="14" t="s">
        <v>106</v>
      </c>
      <c r="C18" s="9" t="str">
        <f>"山鹿回生病院"</f>
        <v>山鹿回生病院</v>
      </c>
      <c r="D18" s="16" t="str">
        <f>"861-0533"</f>
        <v>861-0533</v>
      </c>
      <c r="E18" s="8" t="s">
        <v>57</v>
      </c>
      <c r="F18" s="15">
        <v>968442211</v>
      </c>
      <c r="G18" s="9" t="str">
        <f>"医療法人回生会"</f>
        <v>医療法人回生会</v>
      </c>
      <c r="H18" s="18">
        <v>27545</v>
      </c>
      <c r="I18" s="18" t="s">
        <v>112</v>
      </c>
      <c r="J18" s="10">
        <f t="shared" si="0"/>
        <v>240</v>
      </c>
      <c r="K18" s="11">
        <v>0</v>
      </c>
      <c r="L18" s="11">
        <v>0</v>
      </c>
      <c r="M18" s="11">
        <v>240</v>
      </c>
      <c r="N18" s="11">
        <v>0</v>
      </c>
      <c r="O18" s="11">
        <v>0</v>
      </c>
      <c r="P18" s="12" t="s">
        <v>115</v>
      </c>
      <c r="Q18" s="12"/>
      <c r="R18" s="12"/>
      <c r="S18" s="12"/>
      <c r="T18" s="12"/>
      <c r="U18" s="12"/>
      <c r="V18" s="12" t="s">
        <v>115</v>
      </c>
      <c r="W18" s="12" t="s">
        <v>115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 t="s">
        <v>115</v>
      </c>
      <c r="AV18" s="12"/>
      <c r="AW18" s="12"/>
      <c r="AX18" s="12"/>
      <c r="AY18" s="12"/>
      <c r="AZ18" s="12"/>
      <c r="BA18" s="12"/>
      <c r="BB18" s="9"/>
    </row>
    <row r="19" spans="1:54" s="32" customFormat="1" ht="49.5" customHeight="1" x14ac:dyDescent="0.15">
      <c r="A19" s="32">
        <v>15</v>
      </c>
      <c r="B19" s="14" t="s">
        <v>106</v>
      </c>
      <c r="C19" s="9" t="str">
        <f>"山鹿市民医療センター"</f>
        <v>山鹿市民医療センター</v>
      </c>
      <c r="D19" s="16" t="str">
        <f>"861-0593"</f>
        <v>861-0593</v>
      </c>
      <c r="E19" s="8" t="s">
        <v>58</v>
      </c>
      <c r="F19" s="15">
        <v>968442185</v>
      </c>
      <c r="G19" s="9" t="str">
        <f>"山鹿市"</f>
        <v>山鹿市</v>
      </c>
      <c r="H19" s="18">
        <v>38367</v>
      </c>
      <c r="I19" s="18" t="s">
        <v>112</v>
      </c>
      <c r="J19" s="10">
        <f t="shared" si="0"/>
        <v>201</v>
      </c>
      <c r="K19" s="11">
        <v>197</v>
      </c>
      <c r="L19" s="11">
        <v>0</v>
      </c>
      <c r="M19" s="11">
        <v>0</v>
      </c>
      <c r="N19" s="11">
        <v>0</v>
      </c>
      <c r="O19" s="11">
        <v>4</v>
      </c>
      <c r="P19" s="12" t="s">
        <v>115</v>
      </c>
      <c r="Q19" s="12"/>
      <c r="R19" s="12"/>
      <c r="S19" s="12"/>
      <c r="T19" s="12"/>
      <c r="U19" s="12" t="s">
        <v>49</v>
      </c>
      <c r="V19" s="12"/>
      <c r="W19" s="12"/>
      <c r="X19" s="12"/>
      <c r="Y19" s="12" t="s">
        <v>49</v>
      </c>
      <c r="Z19" s="12" t="s">
        <v>49</v>
      </c>
      <c r="AA19" s="12"/>
      <c r="AB19" s="12"/>
      <c r="AC19" s="12"/>
      <c r="AD19" s="12" t="s">
        <v>49</v>
      </c>
      <c r="AE19" s="12"/>
      <c r="AF19" s="12"/>
      <c r="AG19" s="12" t="s">
        <v>49</v>
      </c>
      <c r="AH19" s="12"/>
      <c r="AI19" s="12"/>
      <c r="AJ19" s="12" t="s">
        <v>49</v>
      </c>
      <c r="AK19" s="12" t="s">
        <v>49</v>
      </c>
      <c r="AL19" s="12"/>
      <c r="AM19" s="12"/>
      <c r="AN19" s="12"/>
      <c r="AO19" s="12" t="s">
        <v>49</v>
      </c>
      <c r="AP19" s="12"/>
      <c r="AQ19" s="12"/>
      <c r="AR19" s="12" t="s">
        <v>49</v>
      </c>
      <c r="AS19" s="12" t="s">
        <v>49</v>
      </c>
      <c r="AT19" s="12" t="s">
        <v>49</v>
      </c>
      <c r="AU19" s="12"/>
      <c r="AV19" s="12"/>
      <c r="AW19" s="12"/>
      <c r="AX19" s="12"/>
      <c r="AY19" s="12"/>
      <c r="AZ19" s="12"/>
      <c r="BA19" s="12"/>
      <c r="BB19" s="9" t="s">
        <v>59</v>
      </c>
    </row>
    <row r="20" spans="1:54" s="32" customFormat="1" ht="30.75" customHeight="1" x14ac:dyDescent="0.15">
      <c r="A20" s="32">
        <v>16</v>
      </c>
      <c r="B20" s="14" t="s">
        <v>106</v>
      </c>
      <c r="C20" s="9" t="str">
        <f>"山鹿中央病院"</f>
        <v>山鹿中央病院</v>
      </c>
      <c r="D20" s="16" t="str">
        <f>"861-0501"</f>
        <v>861-0501</v>
      </c>
      <c r="E20" s="8" t="s">
        <v>60</v>
      </c>
      <c r="F20" s="15">
        <v>968436611</v>
      </c>
      <c r="G20" s="9" t="str">
        <f>"医療法人春水会"</f>
        <v>医療法人春水会</v>
      </c>
      <c r="H20" s="18">
        <v>36281</v>
      </c>
      <c r="I20" s="18" t="s">
        <v>112</v>
      </c>
      <c r="J20" s="10">
        <f t="shared" si="0"/>
        <v>120</v>
      </c>
      <c r="K20" s="11">
        <v>60</v>
      </c>
      <c r="L20" s="11">
        <v>60</v>
      </c>
      <c r="M20" s="11">
        <v>0</v>
      </c>
      <c r="N20" s="11">
        <v>0</v>
      </c>
      <c r="O20" s="11">
        <v>0</v>
      </c>
      <c r="P20" s="12" t="s">
        <v>115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 t="s">
        <v>49</v>
      </c>
      <c r="AB20" s="12"/>
      <c r="AC20" s="12" t="s">
        <v>110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 t="s">
        <v>49</v>
      </c>
      <c r="AO20" s="12"/>
      <c r="AP20" s="12"/>
      <c r="AQ20" s="12"/>
      <c r="AR20" s="12" t="s">
        <v>49</v>
      </c>
      <c r="AS20" s="12" t="s">
        <v>49</v>
      </c>
      <c r="AT20" s="12"/>
      <c r="AU20" s="12" t="s">
        <v>115</v>
      </c>
      <c r="AV20" s="12" t="s">
        <v>49</v>
      </c>
      <c r="AW20" s="12" t="s">
        <v>49</v>
      </c>
      <c r="AX20" s="12"/>
      <c r="AY20" s="12"/>
      <c r="AZ20" s="12"/>
      <c r="BA20" s="12"/>
      <c r="BB20" s="9" t="s">
        <v>61</v>
      </c>
    </row>
    <row r="21" spans="1:54" s="32" customFormat="1" ht="25.5" customHeight="1" x14ac:dyDescent="0.15">
      <c r="A21" s="32">
        <v>17</v>
      </c>
      <c r="B21" s="14" t="s">
        <v>106</v>
      </c>
      <c r="C21" s="9" t="str">
        <f>"保利病院"</f>
        <v>保利病院</v>
      </c>
      <c r="D21" s="16" t="str">
        <f>"861-0533"</f>
        <v>861-0533</v>
      </c>
      <c r="E21" s="8" t="s">
        <v>62</v>
      </c>
      <c r="F21" s="15">
        <v>968431212</v>
      </c>
      <c r="G21" s="9" t="str">
        <f>"医療法人至誠会"</f>
        <v>医療法人至誠会</v>
      </c>
      <c r="H21" s="18">
        <v>39173</v>
      </c>
      <c r="I21" s="18" t="s">
        <v>112</v>
      </c>
      <c r="J21" s="10">
        <f t="shared" si="0"/>
        <v>106</v>
      </c>
      <c r="K21" s="11">
        <v>60</v>
      </c>
      <c r="L21" s="11">
        <v>46</v>
      </c>
      <c r="M21" s="11">
        <v>0</v>
      </c>
      <c r="N21" s="11">
        <v>0</v>
      </c>
      <c r="O21" s="11">
        <v>0</v>
      </c>
      <c r="P21" s="12" t="s">
        <v>220</v>
      </c>
      <c r="Q21" s="12"/>
      <c r="R21" s="12" t="s">
        <v>49</v>
      </c>
      <c r="S21" s="12" t="s">
        <v>49</v>
      </c>
      <c r="T21" s="12" t="s">
        <v>49</v>
      </c>
      <c r="U21" s="12"/>
      <c r="V21" s="12"/>
      <c r="W21" s="12"/>
      <c r="X21" s="12"/>
      <c r="Y21" s="12" t="s">
        <v>49</v>
      </c>
      <c r="Z21" s="12" t="s">
        <v>49</v>
      </c>
      <c r="AA21" s="12" t="s">
        <v>49</v>
      </c>
      <c r="AB21" s="12"/>
      <c r="AC21" s="12" t="s">
        <v>49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 t="s">
        <v>49</v>
      </c>
      <c r="AR21" s="12" t="s">
        <v>49</v>
      </c>
      <c r="AS21" s="12" t="s">
        <v>49</v>
      </c>
      <c r="AT21" s="12"/>
      <c r="AU21" s="12"/>
      <c r="AV21" s="12"/>
      <c r="AW21" s="12"/>
      <c r="AX21" s="12"/>
      <c r="AY21" s="12"/>
      <c r="AZ21" s="12"/>
      <c r="BA21" s="12"/>
      <c r="BB21" s="9"/>
    </row>
    <row r="22" spans="1:54" s="32" customFormat="1" ht="24.75" customHeight="1" x14ac:dyDescent="0.15">
      <c r="A22" s="32">
        <v>18</v>
      </c>
      <c r="B22" s="12" t="str">
        <f t="shared" ref="B22:B37" si="1">"菊池"</f>
        <v>菊池</v>
      </c>
      <c r="C22" s="9" t="str">
        <f>"菊池中央病院"</f>
        <v>菊池中央病院</v>
      </c>
      <c r="D22" s="16" t="str">
        <f>"861-1331"</f>
        <v>861-1331</v>
      </c>
      <c r="E22" s="8" t="s">
        <v>63</v>
      </c>
      <c r="F22" s="15">
        <v>968253141</v>
      </c>
      <c r="G22" s="9" t="str">
        <f>"医療法人　信岡会"</f>
        <v>医療法人　信岡会</v>
      </c>
      <c r="H22" s="18">
        <v>24869</v>
      </c>
      <c r="I22" s="18" t="s">
        <v>112</v>
      </c>
      <c r="J22" s="10">
        <f t="shared" si="0"/>
        <v>102</v>
      </c>
      <c r="K22" s="11">
        <v>102</v>
      </c>
      <c r="L22" s="11">
        <v>0</v>
      </c>
      <c r="M22" s="11">
        <v>0</v>
      </c>
      <c r="N22" s="11">
        <v>0</v>
      </c>
      <c r="O22" s="11">
        <v>0</v>
      </c>
      <c r="P22" s="12" t="s">
        <v>220</v>
      </c>
      <c r="Q22" s="12" t="s">
        <v>49</v>
      </c>
      <c r="R22" s="12" t="s">
        <v>49</v>
      </c>
      <c r="S22" s="12"/>
      <c r="T22" s="12" t="s">
        <v>49</v>
      </c>
      <c r="U22" s="12" t="s">
        <v>49</v>
      </c>
      <c r="V22" s="12"/>
      <c r="W22" s="12"/>
      <c r="X22" s="12"/>
      <c r="Y22" s="12" t="s">
        <v>49</v>
      </c>
      <c r="Z22" s="12" t="s">
        <v>49</v>
      </c>
      <c r="AA22" s="12" t="s">
        <v>49</v>
      </c>
      <c r="AB22" s="12"/>
      <c r="AC22" s="12" t="s">
        <v>49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 t="s">
        <v>49</v>
      </c>
      <c r="AO22" s="12"/>
      <c r="AP22" s="12"/>
      <c r="AQ22" s="12" t="s">
        <v>49</v>
      </c>
      <c r="AR22" s="12" t="s">
        <v>49</v>
      </c>
      <c r="AS22" s="12" t="s">
        <v>49</v>
      </c>
      <c r="AT22" s="12"/>
      <c r="AU22" s="12"/>
      <c r="AV22" s="12"/>
      <c r="AW22" s="12"/>
      <c r="AX22" s="12"/>
      <c r="AY22" s="12"/>
      <c r="AZ22" s="12"/>
      <c r="BA22" s="12"/>
      <c r="BB22" s="9"/>
    </row>
    <row r="23" spans="1:54" s="32" customFormat="1" ht="24.75" customHeight="1" x14ac:dyDescent="0.15">
      <c r="A23" s="32">
        <v>19</v>
      </c>
      <c r="B23" s="12" t="str">
        <f t="shared" si="1"/>
        <v>菊池</v>
      </c>
      <c r="C23" s="9" t="str">
        <f>"菊池有働病院"</f>
        <v>菊池有働病院</v>
      </c>
      <c r="D23" s="16" t="str">
        <f>"861-1304"</f>
        <v>861-1304</v>
      </c>
      <c r="E23" s="8" t="s">
        <v>64</v>
      </c>
      <c r="F23" s="15">
        <v>968253146</v>
      </c>
      <c r="G23" s="9" t="str">
        <f>"医療法人有働会"</f>
        <v>医療法人有働会</v>
      </c>
      <c r="H23" s="18">
        <v>22365</v>
      </c>
      <c r="I23" s="18" t="s">
        <v>112</v>
      </c>
      <c r="J23" s="10">
        <f t="shared" si="0"/>
        <v>195</v>
      </c>
      <c r="K23" s="11">
        <v>0</v>
      </c>
      <c r="L23" s="11">
        <v>0</v>
      </c>
      <c r="M23" s="11">
        <v>195</v>
      </c>
      <c r="N23" s="11">
        <v>0</v>
      </c>
      <c r="O23" s="11">
        <v>0</v>
      </c>
      <c r="P23" s="12" t="s">
        <v>220</v>
      </c>
      <c r="Q23" s="12"/>
      <c r="R23" s="12"/>
      <c r="S23" s="12"/>
      <c r="T23" s="12"/>
      <c r="U23" s="12"/>
      <c r="V23" s="12" t="s">
        <v>220</v>
      </c>
      <c r="W23" s="12" t="s">
        <v>220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 t="s">
        <v>220</v>
      </c>
      <c r="AV23" s="12"/>
      <c r="AW23" s="12"/>
      <c r="AX23" s="12"/>
      <c r="AY23" s="12"/>
      <c r="AZ23" s="12"/>
      <c r="BA23" s="12"/>
      <c r="BB23" s="9"/>
    </row>
    <row r="24" spans="1:54" s="32" customFormat="1" ht="24.75" customHeight="1" x14ac:dyDescent="0.15">
      <c r="A24" s="32">
        <v>20</v>
      </c>
      <c r="B24" s="12" t="str">
        <f t="shared" si="1"/>
        <v>菊池</v>
      </c>
      <c r="C24" s="9" t="str">
        <f>"国立療養所菊池恵楓園"</f>
        <v>国立療養所菊池恵楓園</v>
      </c>
      <c r="D24" s="16" t="str">
        <f>"861-1113"</f>
        <v>861-1113</v>
      </c>
      <c r="E24" s="8" t="s">
        <v>65</v>
      </c>
      <c r="F24" s="15">
        <v>962481131</v>
      </c>
      <c r="G24" s="9" t="str">
        <f>"厚生労働省"</f>
        <v>厚生労働省</v>
      </c>
      <c r="H24" s="18">
        <v>3379</v>
      </c>
      <c r="I24" s="18" t="s">
        <v>112</v>
      </c>
      <c r="J24" s="10">
        <f t="shared" si="0"/>
        <v>395</v>
      </c>
      <c r="K24" s="11">
        <v>395</v>
      </c>
      <c r="L24" s="11">
        <v>0</v>
      </c>
      <c r="M24" s="11">
        <v>0</v>
      </c>
      <c r="N24" s="11">
        <v>0</v>
      </c>
      <c r="O24" s="11">
        <v>0</v>
      </c>
      <c r="P24" s="12" t="s">
        <v>115</v>
      </c>
      <c r="Q24" s="12"/>
      <c r="R24" s="12"/>
      <c r="S24" s="12"/>
      <c r="T24" s="12"/>
      <c r="U24" s="12"/>
      <c r="V24" s="12" t="s">
        <v>115</v>
      </c>
      <c r="W24" s="12"/>
      <c r="X24" s="12"/>
      <c r="Y24" s="12" t="s">
        <v>49</v>
      </c>
      <c r="Z24" s="12" t="s">
        <v>49</v>
      </c>
      <c r="AA24" s="12"/>
      <c r="AB24" s="12"/>
      <c r="AC24" s="12"/>
      <c r="AD24" s="12"/>
      <c r="AE24" s="12"/>
      <c r="AF24" s="12"/>
      <c r="AG24" s="12"/>
      <c r="AH24" s="12"/>
      <c r="AI24" s="12"/>
      <c r="AJ24" s="12" t="s">
        <v>49</v>
      </c>
      <c r="AK24" s="12" t="s">
        <v>49</v>
      </c>
      <c r="AL24" s="12"/>
      <c r="AM24" s="12"/>
      <c r="AN24" s="12" t="s">
        <v>49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 t="s">
        <v>49</v>
      </c>
      <c r="AY24" s="12"/>
      <c r="AZ24" s="12"/>
      <c r="BA24" s="12"/>
      <c r="BB24" s="9"/>
    </row>
    <row r="25" spans="1:54" s="32" customFormat="1" ht="24.75" customHeight="1" x14ac:dyDescent="0.15">
      <c r="A25" s="32">
        <v>21</v>
      </c>
      <c r="B25" s="12" t="str">
        <f t="shared" si="1"/>
        <v>菊池</v>
      </c>
      <c r="C25" s="9" t="str">
        <f>"独立行政法人国立病院機構菊池病院"</f>
        <v>独立行政法人国立病院機構菊池病院</v>
      </c>
      <c r="D25" s="16" t="str">
        <f>"861-1116"</f>
        <v>861-1116</v>
      </c>
      <c r="E25" s="8" t="s">
        <v>66</v>
      </c>
      <c r="F25" s="15">
        <v>962482111</v>
      </c>
      <c r="G25" s="9" t="str">
        <f>"独立行政法人国立病院機構"</f>
        <v>独立行政法人国立病院機構</v>
      </c>
      <c r="H25" s="18">
        <v>28216</v>
      </c>
      <c r="I25" s="18" t="s">
        <v>112</v>
      </c>
      <c r="J25" s="10">
        <f>K25+L25+M25+N25+O25</f>
        <v>239</v>
      </c>
      <c r="K25" s="11">
        <v>100</v>
      </c>
      <c r="L25" s="11">
        <v>0</v>
      </c>
      <c r="M25" s="11">
        <v>139</v>
      </c>
      <c r="N25" s="11">
        <v>0</v>
      </c>
      <c r="O25" s="11">
        <v>0</v>
      </c>
      <c r="P25" s="12" t="s">
        <v>220</v>
      </c>
      <c r="Q25" s="12"/>
      <c r="R25" s="12"/>
      <c r="S25" s="12"/>
      <c r="T25" s="12"/>
      <c r="U25" s="12" t="s">
        <v>49</v>
      </c>
      <c r="V25" s="12" t="s">
        <v>220</v>
      </c>
      <c r="W25" s="12" t="s">
        <v>115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 t="s">
        <v>49</v>
      </c>
      <c r="AS25" s="12"/>
      <c r="AT25" s="12"/>
      <c r="AU25" s="12" t="s">
        <v>115</v>
      </c>
      <c r="AV25" s="12"/>
      <c r="AW25" s="12"/>
      <c r="AX25" s="12" t="s">
        <v>49</v>
      </c>
      <c r="AY25" s="12"/>
      <c r="AZ25" s="12"/>
      <c r="BA25" s="12"/>
      <c r="BB25" s="9"/>
    </row>
    <row r="26" spans="1:54" s="32" customFormat="1" ht="50.25" customHeight="1" x14ac:dyDescent="0.15">
      <c r="A26" s="32">
        <v>22</v>
      </c>
      <c r="B26" s="12" t="str">
        <f t="shared" si="1"/>
        <v>菊池</v>
      </c>
      <c r="C26" s="9" t="str">
        <f>"独立行政法人国立病院機構熊本再春医療センター"</f>
        <v>独立行政法人国立病院機構熊本再春医療センター</v>
      </c>
      <c r="D26" s="16" t="str">
        <f>"861-1102"</f>
        <v>861-1102</v>
      </c>
      <c r="E26" s="8" t="s">
        <v>67</v>
      </c>
      <c r="F26" s="15">
        <v>962421000</v>
      </c>
      <c r="G26" s="9" t="str">
        <f>"独立行政法人国立病院機構"</f>
        <v>独立行政法人国立病院機構</v>
      </c>
      <c r="H26" s="18">
        <v>16772</v>
      </c>
      <c r="I26" s="18" t="s">
        <v>112</v>
      </c>
      <c r="J26" s="10">
        <f t="shared" si="0"/>
        <v>446</v>
      </c>
      <c r="K26" s="11">
        <v>446</v>
      </c>
      <c r="L26" s="11">
        <v>0</v>
      </c>
      <c r="M26" s="11">
        <v>0</v>
      </c>
      <c r="N26" s="11">
        <v>0</v>
      </c>
      <c r="O26" s="11">
        <v>0</v>
      </c>
      <c r="P26" s="12" t="s">
        <v>115</v>
      </c>
      <c r="Q26" s="12"/>
      <c r="R26" s="12"/>
      <c r="S26" s="12"/>
      <c r="T26" s="12"/>
      <c r="U26" s="12" t="s">
        <v>49</v>
      </c>
      <c r="V26" s="12"/>
      <c r="W26" s="12"/>
      <c r="X26" s="12"/>
      <c r="Y26" s="12" t="s">
        <v>49</v>
      </c>
      <c r="Z26" s="12" t="s">
        <v>49</v>
      </c>
      <c r="AA26" s="12"/>
      <c r="AB26" s="12"/>
      <c r="AC26" s="12"/>
      <c r="AD26" s="12" t="s">
        <v>49</v>
      </c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 t="s">
        <v>49</v>
      </c>
      <c r="AS26" s="12" t="s">
        <v>49</v>
      </c>
      <c r="AT26" s="12" t="s">
        <v>49</v>
      </c>
      <c r="AU26" s="12"/>
      <c r="AV26" s="12"/>
      <c r="AW26" s="12" t="s">
        <v>49</v>
      </c>
      <c r="AX26" s="12"/>
      <c r="AY26" s="12"/>
      <c r="AZ26" s="12"/>
      <c r="BA26" s="12"/>
      <c r="BB26" s="9" t="s">
        <v>223</v>
      </c>
    </row>
    <row r="27" spans="1:54" s="32" customFormat="1" ht="24.75" customHeight="1" x14ac:dyDescent="0.15">
      <c r="A27" s="32">
        <v>23</v>
      </c>
      <c r="B27" s="12" t="str">
        <f t="shared" si="1"/>
        <v>菊池</v>
      </c>
      <c r="C27" s="9" t="str">
        <f>"合志第一病院"</f>
        <v>合志第一病院</v>
      </c>
      <c r="D27" s="16" t="str">
        <f>"861-1104"</f>
        <v>861-1104</v>
      </c>
      <c r="E27" s="8" t="s">
        <v>68</v>
      </c>
      <c r="F27" s="15">
        <v>962422745</v>
      </c>
      <c r="G27" s="9" t="str">
        <f>"特定医療法人　萬生会"</f>
        <v>特定医療法人　萬生会</v>
      </c>
      <c r="H27" s="18">
        <v>28474</v>
      </c>
      <c r="I27" s="18" t="s">
        <v>112</v>
      </c>
      <c r="J27" s="10">
        <f t="shared" si="0"/>
        <v>132</v>
      </c>
      <c r="K27" s="11">
        <v>67</v>
      </c>
      <c r="L27" s="11">
        <v>65</v>
      </c>
      <c r="M27" s="11">
        <v>0</v>
      </c>
      <c r="N27" s="11">
        <v>0</v>
      </c>
      <c r="O27" s="11">
        <v>0</v>
      </c>
      <c r="P27" s="12" t="s">
        <v>220</v>
      </c>
      <c r="Q27" s="12"/>
      <c r="R27" s="12"/>
      <c r="S27" s="12"/>
      <c r="T27" s="12"/>
      <c r="U27" s="12"/>
      <c r="V27" s="12"/>
      <c r="W27" s="12"/>
      <c r="X27" s="12" t="s">
        <v>49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 t="s">
        <v>49</v>
      </c>
      <c r="AO27" s="12"/>
      <c r="AP27" s="12"/>
      <c r="AQ27" s="12"/>
      <c r="AR27" s="12" t="s">
        <v>49</v>
      </c>
      <c r="AS27" s="12"/>
      <c r="AT27" s="12"/>
      <c r="AU27" s="12"/>
      <c r="AV27" s="12"/>
      <c r="AW27" s="12" t="s">
        <v>49</v>
      </c>
      <c r="AX27" s="12"/>
      <c r="AY27" s="12"/>
      <c r="AZ27" s="12"/>
      <c r="BA27" s="12"/>
      <c r="BB27" s="9" t="s">
        <v>69</v>
      </c>
    </row>
    <row r="28" spans="1:54" s="32" customFormat="1" ht="24.75" customHeight="1" x14ac:dyDescent="0.15">
      <c r="A28" s="32">
        <v>24</v>
      </c>
      <c r="B28" s="12" t="str">
        <f t="shared" si="1"/>
        <v>菊池</v>
      </c>
      <c r="C28" s="9" t="str">
        <f>"中山記念病院"</f>
        <v>中山記念病院</v>
      </c>
      <c r="D28" s="16" t="str">
        <f>"861-1102"</f>
        <v>861-1102</v>
      </c>
      <c r="E28" s="8" t="s">
        <v>70</v>
      </c>
      <c r="F28" s="15">
        <v>963432617</v>
      </c>
      <c r="G28" s="9" t="str">
        <f>"医療法人　中山会"</f>
        <v>医療法人　中山会</v>
      </c>
      <c r="H28" s="18">
        <v>23743</v>
      </c>
      <c r="I28" s="18" t="s">
        <v>112</v>
      </c>
      <c r="J28" s="10">
        <f t="shared" si="0"/>
        <v>167</v>
      </c>
      <c r="K28" s="11">
        <v>0</v>
      </c>
      <c r="L28" s="11">
        <v>0</v>
      </c>
      <c r="M28" s="11">
        <v>167</v>
      </c>
      <c r="N28" s="11">
        <v>0</v>
      </c>
      <c r="O28" s="11">
        <v>0</v>
      </c>
      <c r="P28" s="12" t="s">
        <v>232</v>
      </c>
      <c r="Q28" s="12"/>
      <c r="R28" s="12"/>
      <c r="S28" s="12"/>
      <c r="T28" s="12"/>
      <c r="U28" s="12"/>
      <c r="V28" s="12" t="s">
        <v>232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9"/>
    </row>
    <row r="29" spans="1:54" s="32" customFormat="1" ht="24.75" customHeight="1" x14ac:dyDescent="0.15">
      <c r="A29" s="32">
        <v>25</v>
      </c>
      <c r="B29" s="12" t="str">
        <f t="shared" si="1"/>
        <v>菊池</v>
      </c>
      <c r="C29" s="9" t="str">
        <f>"岸病院"</f>
        <v>岸病院</v>
      </c>
      <c r="D29" s="16" t="str">
        <f>"861-1212"</f>
        <v>861-1212</v>
      </c>
      <c r="E29" s="8" t="s">
        <v>71</v>
      </c>
      <c r="F29" s="15">
        <v>968382750</v>
      </c>
      <c r="G29" s="9" t="str">
        <f>"医療法人 菊芳会"</f>
        <v>医療法人 菊芳会</v>
      </c>
      <c r="H29" s="18">
        <v>26389</v>
      </c>
      <c r="I29" s="18" t="s">
        <v>112</v>
      </c>
      <c r="J29" s="10">
        <f t="shared" si="0"/>
        <v>36</v>
      </c>
      <c r="K29" s="11">
        <v>0</v>
      </c>
      <c r="L29" s="11">
        <v>36</v>
      </c>
      <c r="M29" s="11">
        <v>0</v>
      </c>
      <c r="N29" s="11">
        <v>0</v>
      </c>
      <c r="O29" s="11">
        <v>0</v>
      </c>
      <c r="P29" s="12" t="s">
        <v>220</v>
      </c>
      <c r="Q29" s="12"/>
      <c r="R29" s="12"/>
      <c r="S29" s="12" t="s">
        <v>49</v>
      </c>
      <c r="T29" s="12" t="s">
        <v>49</v>
      </c>
      <c r="U29" s="12"/>
      <c r="V29" s="12"/>
      <c r="W29" s="12"/>
      <c r="X29" s="12"/>
      <c r="Y29" s="12" t="s">
        <v>49</v>
      </c>
      <c r="Z29" s="12" t="s">
        <v>49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 t="s">
        <v>49</v>
      </c>
      <c r="AO29" s="12" t="s">
        <v>49</v>
      </c>
      <c r="AP29" s="12"/>
      <c r="AQ29" s="12" t="s">
        <v>49</v>
      </c>
      <c r="AR29" s="12" t="s">
        <v>49</v>
      </c>
      <c r="AS29" s="12"/>
      <c r="AT29" s="12" t="s">
        <v>49</v>
      </c>
      <c r="AU29" s="12"/>
      <c r="AV29" s="12"/>
      <c r="AW29" s="12"/>
      <c r="AX29" s="12"/>
      <c r="AY29" s="12"/>
      <c r="AZ29" s="12"/>
      <c r="BA29" s="12"/>
      <c r="BB29" s="9"/>
    </row>
    <row r="30" spans="1:54" s="32" customFormat="1" ht="24.75" customHeight="1" x14ac:dyDescent="0.15">
      <c r="A30" s="32">
        <v>26</v>
      </c>
      <c r="B30" s="12" t="str">
        <f t="shared" si="1"/>
        <v>菊池</v>
      </c>
      <c r="C30" s="9" t="str">
        <f>"菊陽台病院"</f>
        <v>菊陽台病院</v>
      </c>
      <c r="D30" s="16" t="str">
        <f>"869-1103"</f>
        <v>869-1103</v>
      </c>
      <c r="E30" s="8" t="s">
        <v>72</v>
      </c>
      <c r="F30" s="15">
        <v>962321191</v>
      </c>
      <c r="G30" s="9" t="str">
        <f>"医療法人社団　熊本清仁会"</f>
        <v>医療法人社団　熊本清仁会</v>
      </c>
      <c r="H30" s="18">
        <v>29372</v>
      </c>
      <c r="I30" s="18" t="s">
        <v>112</v>
      </c>
      <c r="J30" s="10">
        <f t="shared" si="0"/>
        <v>124</v>
      </c>
      <c r="K30" s="11">
        <v>35</v>
      </c>
      <c r="L30" s="11">
        <v>89</v>
      </c>
      <c r="M30" s="11">
        <v>0</v>
      </c>
      <c r="N30" s="11">
        <v>0</v>
      </c>
      <c r="O30" s="11">
        <v>0</v>
      </c>
      <c r="P30" s="12" t="s">
        <v>220</v>
      </c>
      <c r="Q30" s="12" t="s">
        <v>49</v>
      </c>
      <c r="R30" s="12" t="s">
        <v>49</v>
      </c>
      <c r="S30" s="12" t="s">
        <v>49</v>
      </c>
      <c r="T30" s="12" t="s">
        <v>49</v>
      </c>
      <c r="U30" s="12"/>
      <c r="V30" s="12"/>
      <c r="W30" s="12"/>
      <c r="X30" s="12" t="s">
        <v>49</v>
      </c>
      <c r="Y30" s="12"/>
      <c r="Z30" s="12" t="s">
        <v>49</v>
      </c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 t="s">
        <v>49</v>
      </c>
      <c r="AO30" s="12"/>
      <c r="AP30" s="12"/>
      <c r="AQ30" s="12"/>
      <c r="AR30" s="12" t="s">
        <v>49</v>
      </c>
      <c r="AS30" s="12" t="s">
        <v>49</v>
      </c>
      <c r="AT30" s="12"/>
      <c r="AU30" s="12"/>
      <c r="AV30" s="12"/>
      <c r="AW30" s="12" t="s">
        <v>49</v>
      </c>
      <c r="AX30" s="12"/>
      <c r="AY30" s="12"/>
      <c r="AZ30" s="12"/>
      <c r="BA30" s="12"/>
      <c r="BB30" s="9"/>
    </row>
    <row r="31" spans="1:54" s="32" customFormat="1" ht="24.75" customHeight="1" x14ac:dyDescent="0.15">
      <c r="A31" s="32">
        <v>27</v>
      </c>
      <c r="B31" s="12" t="str">
        <f t="shared" si="1"/>
        <v>菊池</v>
      </c>
      <c r="C31" s="9" t="str">
        <f>"菊陽病院"</f>
        <v>菊陽病院</v>
      </c>
      <c r="D31" s="16" t="str">
        <f>"869-1102"</f>
        <v>869-1102</v>
      </c>
      <c r="E31" s="8" t="s">
        <v>73</v>
      </c>
      <c r="F31" s="15">
        <v>962323171</v>
      </c>
      <c r="G31" s="9" t="str">
        <f>"社会医療法人　芳和会"</f>
        <v>社会医療法人　芳和会</v>
      </c>
      <c r="H31" s="18">
        <v>28060</v>
      </c>
      <c r="I31" s="18" t="s">
        <v>112</v>
      </c>
      <c r="J31" s="10">
        <f t="shared" si="0"/>
        <v>315</v>
      </c>
      <c r="K31" s="11">
        <v>0</v>
      </c>
      <c r="L31" s="11">
        <v>0</v>
      </c>
      <c r="M31" s="11">
        <v>315</v>
      </c>
      <c r="N31" s="11">
        <v>0</v>
      </c>
      <c r="O31" s="11">
        <v>0</v>
      </c>
      <c r="P31" s="12" t="s">
        <v>220</v>
      </c>
      <c r="Q31" s="12"/>
      <c r="R31" s="12"/>
      <c r="S31" s="12"/>
      <c r="T31" s="12"/>
      <c r="U31" s="12"/>
      <c r="V31" s="12" t="s">
        <v>220</v>
      </c>
      <c r="W31" s="12" t="s">
        <v>220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 t="s">
        <v>49</v>
      </c>
      <c r="AT31" s="12"/>
      <c r="AU31" s="12"/>
      <c r="AV31" s="12"/>
      <c r="AW31" s="12"/>
      <c r="AX31" s="12" t="s">
        <v>49</v>
      </c>
      <c r="AY31" s="12"/>
      <c r="AZ31" s="12"/>
      <c r="BA31" s="12"/>
      <c r="BB31" s="9"/>
    </row>
    <row r="32" spans="1:54" s="32" customFormat="1" ht="24.75" customHeight="1" x14ac:dyDescent="0.15">
      <c r="A32" s="32">
        <v>28</v>
      </c>
      <c r="B32" s="12" t="str">
        <f t="shared" si="1"/>
        <v>菊池</v>
      </c>
      <c r="C32" s="9" t="str">
        <f>"東熊本第二病院"</f>
        <v>東熊本第二病院</v>
      </c>
      <c r="D32" s="16" t="str">
        <f>"869-1107"</f>
        <v>869-1107</v>
      </c>
      <c r="E32" s="8" t="s">
        <v>74</v>
      </c>
      <c r="F32" s="15">
        <v>962323939</v>
      </c>
      <c r="G32" s="9" t="str">
        <f>"医療法人　永田会"</f>
        <v>医療法人　永田会</v>
      </c>
      <c r="H32" s="18">
        <v>37579</v>
      </c>
      <c r="I32" s="18" t="s">
        <v>112</v>
      </c>
      <c r="J32" s="10">
        <f t="shared" si="0"/>
        <v>111</v>
      </c>
      <c r="K32" s="11">
        <v>60</v>
      </c>
      <c r="L32" s="11">
        <v>51</v>
      </c>
      <c r="M32" s="11">
        <v>0</v>
      </c>
      <c r="N32" s="11">
        <v>0</v>
      </c>
      <c r="O32" s="11">
        <v>0</v>
      </c>
      <c r="P32" s="12" t="s">
        <v>220</v>
      </c>
      <c r="Q32" s="12" t="s">
        <v>49</v>
      </c>
      <c r="R32" s="12" t="s">
        <v>49</v>
      </c>
      <c r="S32" s="12"/>
      <c r="T32" s="12" t="s">
        <v>49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 t="s">
        <v>49</v>
      </c>
      <c r="AO32" s="12"/>
      <c r="AP32" s="12"/>
      <c r="AQ32" s="12"/>
      <c r="AR32" s="12" t="s">
        <v>49</v>
      </c>
      <c r="AS32" s="12" t="s">
        <v>49</v>
      </c>
      <c r="AT32" s="12"/>
      <c r="AU32" s="12"/>
      <c r="AV32" s="12"/>
      <c r="AW32" s="12"/>
      <c r="AX32" s="12"/>
      <c r="AY32" s="12"/>
      <c r="AZ32" s="12"/>
      <c r="BA32" s="12"/>
      <c r="BB32" s="9"/>
    </row>
    <row r="33" spans="1:54" s="32" customFormat="1" ht="24.75" customHeight="1" x14ac:dyDescent="0.15">
      <c r="A33" s="32">
        <v>29</v>
      </c>
      <c r="B33" s="12" t="str">
        <f t="shared" si="1"/>
        <v>菊池</v>
      </c>
      <c r="C33" s="9" t="str">
        <f>"熊本リハビリテーション病院"</f>
        <v>熊本リハビリテーション病院</v>
      </c>
      <c r="D33" s="16" t="str">
        <f>"869-1106"</f>
        <v>869-1106</v>
      </c>
      <c r="E33" s="8" t="s">
        <v>75</v>
      </c>
      <c r="F33" s="15">
        <v>962323111</v>
      </c>
      <c r="G33" s="9" t="str">
        <f>"社会医療法人　令和会"</f>
        <v>社会医療法人　令和会</v>
      </c>
      <c r="H33" s="18">
        <v>27149</v>
      </c>
      <c r="I33" s="18" t="s">
        <v>112</v>
      </c>
      <c r="J33" s="10">
        <f t="shared" si="0"/>
        <v>225</v>
      </c>
      <c r="K33" s="11">
        <v>225</v>
      </c>
      <c r="L33" s="11">
        <v>0</v>
      </c>
      <c r="M33" s="11">
        <v>0</v>
      </c>
      <c r="N33" s="11">
        <v>0</v>
      </c>
      <c r="O33" s="11">
        <v>0</v>
      </c>
      <c r="P33" s="12" t="s">
        <v>220</v>
      </c>
      <c r="Q33" s="12" t="s">
        <v>49</v>
      </c>
      <c r="R33" s="12" t="s">
        <v>49</v>
      </c>
      <c r="S33" s="12"/>
      <c r="T33" s="12" t="s">
        <v>49</v>
      </c>
      <c r="U33" s="12"/>
      <c r="V33" s="12"/>
      <c r="W33" s="12"/>
      <c r="X33" s="12"/>
      <c r="Y33" s="12"/>
      <c r="Z33" s="12" t="s">
        <v>49</v>
      </c>
      <c r="AA33" s="12" t="s">
        <v>49</v>
      </c>
      <c r="AB33" s="12"/>
      <c r="AC33" s="12" t="s">
        <v>49</v>
      </c>
      <c r="AD33" s="12"/>
      <c r="AE33" s="12" t="s">
        <v>49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 t="s">
        <v>49</v>
      </c>
      <c r="AP33" s="12"/>
      <c r="AQ33" s="12"/>
      <c r="AR33" s="12" t="s">
        <v>49</v>
      </c>
      <c r="AS33" s="12" t="s">
        <v>49</v>
      </c>
      <c r="AT33" s="12" t="s">
        <v>49</v>
      </c>
      <c r="AU33" s="12"/>
      <c r="AV33" s="12"/>
      <c r="AW33" s="12" t="s">
        <v>49</v>
      </c>
      <c r="AX33" s="12" t="s">
        <v>49</v>
      </c>
      <c r="AY33" s="12"/>
      <c r="AZ33" s="12"/>
      <c r="BA33" s="12" t="s">
        <v>49</v>
      </c>
      <c r="BB33" s="9" t="s">
        <v>76</v>
      </c>
    </row>
    <row r="34" spans="1:54" s="32" customFormat="1" ht="37.5" customHeight="1" x14ac:dyDescent="0.15">
      <c r="A34" s="32">
        <v>30</v>
      </c>
      <c r="B34" s="12" t="str">
        <f t="shared" si="1"/>
        <v>菊池</v>
      </c>
      <c r="C34" s="9" t="str">
        <f>"阿梨花病院大津"</f>
        <v>阿梨花病院大津</v>
      </c>
      <c r="D34" s="16" t="str">
        <f>"869-1235"</f>
        <v>869-1235</v>
      </c>
      <c r="E34" s="8" t="s">
        <v>77</v>
      </c>
      <c r="F34" s="15">
        <v>962935000</v>
      </c>
      <c r="G34" s="9" t="str">
        <f>"医療法人社団　坂梨会"</f>
        <v>医療法人社団　坂梨会</v>
      </c>
      <c r="H34" s="18">
        <v>33573</v>
      </c>
      <c r="I34" s="18" t="s">
        <v>112</v>
      </c>
      <c r="J34" s="10">
        <f t="shared" si="0"/>
        <v>60</v>
      </c>
      <c r="K34" s="11">
        <v>20</v>
      </c>
      <c r="L34" s="11">
        <v>40</v>
      </c>
      <c r="M34" s="11">
        <v>0</v>
      </c>
      <c r="N34" s="11">
        <v>0</v>
      </c>
      <c r="O34" s="11">
        <v>0</v>
      </c>
      <c r="P34" s="12" t="s">
        <v>220</v>
      </c>
      <c r="Q34" s="12"/>
      <c r="R34" s="12"/>
      <c r="S34" s="12"/>
      <c r="T34" s="12"/>
      <c r="U34" s="12"/>
      <c r="V34" s="12"/>
      <c r="W34" s="12"/>
      <c r="X34" s="12"/>
      <c r="Y34" s="12" t="s">
        <v>49</v>
      </c>
      <c r="Z34" s="12" t="s">
        <v>49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 t="s">
        <v>49</v>
      </c>
      <c r="AS34" s="12" t="s">
        <v>49</v>
      </c>
      <c r="AT34" s="12"/>
      <c r="AU34" s="12"/>
      <c r="AV34" s="12"/>
      <c r="AW34" s="12" t="s">
        <v>49</v>
      </c>
      <c r="AX34" s="12"/>
      <c r="AY34" s="12"/>
      <c r="AZ34" s="12"/>
      <c r="BA34" s="12"/>
      <c r="BB34" s="9" t="s">
        <v>78</v>
      </c>
    </row>
    <row r="35" spans="1:54" s="32" customFormat="1" ht="24.75" customHeight="1" x14ac:dyDescent="0.15">
      <c r="A35" s="32">
        <v>31</v>
      </c>
      <c r="B35" s="12" t="str">
        <f t="shared" si="1"/>
        <v>菊池</v>
      </c>
      <c r="C35" s="9" t="str">
        <f>"川口病院"</f>
        <v>川口病院</v>
      </c>
      <c r="D35" s="16" t="str">
        <f>"861-1331"</f>
        <v>861-1331</v>
      </c>
      <c r="E35" s="8" t="s">
        <v>79</v>
      </c>
      <c r="F35" s="15">
        <v>968252230</v>
      </c>
      <c r="G35" s="9" t="str">
        <f>"医療法人　川口会"</f>
        <v>医療法人　川口会</v>
      </c>
      <c r="H35" s="18">
        <v>41091</v>
      </c>
      <c r="I35" s="18" t="s">
        <v>112</v>
      </c>
      <c r="J35" s="10">
        <f>K35+L35+M35+N35+O35</f>
        <v>60</v>
      </c>
      <c r="K35" s="11">
        <v>60</v>
      </c>
      <c r="L35" s="11">
        <v>0</v>
      </c>
      <c r="M35" s="11">
        <v>0</v>
      </c>
      <c r="N35" s="11">
        <v>0</v>
      </c>
      <c r="O35" s="11">
        <v>0</v>
      </c>
      <c r="P35" s="12" t="s">
        <v>220</v>
      </c>
      <c r="Q35" s="12"/>
      <c r="R35" s="12" t="s">
        <v>49</v>
      </c>
      <c r="S35" s="12"/>
      <c r="T35" s="12" t="s">
        <v>49</v>
      </c>
      <c r="U35" s="12"/>
      <c r="V35" s="12"/>
      <c r="W35" s="12"/>
      <c r="X35" s="12"/>
      <c r="Y35" s="12" t="s">
        <v>49</v>
      </c>
      <c r="Z35" s="12" t="s">
        <v>49</v>
      </c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 t="s">
        <v>49</v>
      </c>
      <c r="AO35" s="12" t="s">
        <v>49</v>
      </c>
      <c r="AP35" s="12" t="s">
        <v>49</v>
      </c>
      <c r="AQ35" s="12" t="s">
        <v>49</v>
      </c>
      <c r="AR35" s="12" t="s">
        <v>49</v>
      </c>
      <c r="AS35" s="12" t="s">
        <v>49</v>
      </c>
      <c r="AT35" s="12" t="s">
        <v>49</v>
      </c>
      <c r="AU35" s="12"/>
      <c r="AV35" s="12"/>
      <c r="AW35" s="12" t="s">
        <v>49</v>
      </c>
      <c r="AX35" s="12"/>
      <c r="AY35" s="12"/>
      <c r="AZ35" s="12"/>
      <c r="BA35" s="12"/>
      <c r="BB35" s="9"/>
    </row>
    <row r="36" spans="1:54" s="32" customFormat="1" ht="44.25" customHeight="1" x14ac:dyDescent="0.15">
      <c r="A36" s="32">
        <v>32</v>
      </c>
      <c r="B36" s="12" t="str">
        <f t="shared" si="1"/>
        <v>菊池</v>
      </c>
      <c r="C36" s="9" t="str">
        <f>"菊池郡市医師会立病院"</f>
        <v>菊池郡市医師会立病院</v>
      </c>
      <c r="D36" s="16" t="str">
        <f>"861-1306"</f>
        <v>861-1306</v>
      </c>
      <c r="E36" s="8" t="s">
        <v>80</v>
      </c>
      <c r="F36" s="15">
        <v>968252191</v>
      </c>
      <c r="G36" s="9" t="str">
        <f>"一般社団法人菊池郡市医師会"</f>
        <v>一般社団法人菊池郡市医師会</v>
      </c>
      <c r="H36" s="18">
        <v>41183</v>
      </c>
      <c r="I36" s="18" t="s">
        <v>112</v>
      </c>
      <c r="J36" s="10">
        <f t="shared" si="0"/>
        <v>124</v>
      </c>
      <c r="K36" s="11">
        <v>80</v>
      </c>
      <c r="L36" s="11">
        <v>40</v>
      </c>
      <c r="M36" s="11">
        <v>0</v>
      </c>
      <c r="N36" s="11">
        <v>0</v>
      </c>
      <c r="O36" s="11">
        <v>4</v>
      </c>
      <c r="P36" s="12" t="s">
        <v>220</v>
      </c>
      <c r="Q36" s="12"/>
      <c r="R36" s="12"/>
      <c r="S36" s="12"/>
      <c r="T36" s="12"/>
      <c r="U36" s="12"/>
      <c r="V36" s="12"/>
      <c r="W36" s="12"/>
      <c r="X36" s="12"/>
      <c r="Y36" s="12"/>
      <c r="Z36" s="12" t="s">
        <v>49</v>
      </c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 t="s">
        <v>49</v>
      </c>
      <c r="AS36" s="12" t="s">
        <v>49</v>
      </c>
      <c r="AT36" s="12"/>
      <c r="AU36" s="12"/>
      <c r="AV36" s="12"/>
      <c r="AW36" s="12"/>
      <c r="AX36" s="12"/>
      <c r="AY36" s="12"/>
      <c r="AZ36" s="12"/>
      <c r="BA36" s="12"/>
      <c r="BB36" s="9" t="s">
        <v>81</v>
      </c>
    </row>
    <row r="37" spans="1:54" s="32" customFormat="1" ht="24.75" customHeight="1" x14ac:dyDescent="0.15">
      <c r="A37" s="32">
        <v>33</v>
      </c>
      <c r="B37" s="12" t="str">
        <f t="shared" si="1"/>
        <v>菊池</v>
      </c>
      <c r="C37" s="9" t="str">
        <f>"熊本セントラル病院"</f>
        <v>熊本セントラル病院</v>
      </c>
      <c r="D37" s="16" t="str">
        <f>"869-1102"</f>
        <v>869-1102</v>
      </c>
      <c r="E37" s="8" t="s">
        <v>82</v>
      </c>
      <c r="F37" s="15">
        <v>963405001</v>
      </c>
      <c r="G37" s="9" t="str">
        <f>"社会医療法人　潤心会"</f>
        <v>社会医療法人　潤心会</v>
      </c>
      <c r="H37" s="18">
        <v>44106</v>
      </c>
      <c r="I37" s="18" t="s">
        <v>112</v>
      </c>
      <c r="J37" s="10">
        <f t="shared" si="0"/>
        <v>246</v>
      </c>
      <c r="K37" s="11">
        <v>246</v>
      </c>
      <c r="L37" s="11">
        <v>0</v>
      </c>
      <c r="M37" s="11">
        <v>0</v>
      </c>
      <c r="N37" s="11">
        <v>0</v>
      </c>
      <c r="O37" s="11">
        <v>0</v>
      </c>
      <c r="P37" s="12" t="s">
        <v>220</v>
      </c>
      <c r="Q37" s="12" t="s">
        <v>49</v>
      </c>
      <c r="R37" s="12" t="s">
        <v>49</v>
      </c>
      <c r="S37" s="12"/>
      <c r="T37" s="12" t="s">
        <v>49</v>
      </c>
      <c r="U37" s="12"/>
      <c r="V37" s="12" t="s">
        <v>220</v>
      </c>
      <c r="W37" s="12"/>
      <c r="X37" s="12" t="s">
        <v>49</v>
      </c>
      <c r="Y37" s="12" t="s">
        <v>49</v>
      </c>
      <c r="Z37" s="12" t="s">
        <v>49</v>
      </c>
      <c r="AA37" s="12" t="s">
        <v>49</v>
      </c>
      <c r="AB37" s="12"/>
      <c r="AC37" s="12" t="s">
        <v>49</v>
      </c>
      <c r="AD37" s="12"/>
      <c r="AE37" s="12" t="s">
        <v>49</v>
      </c>
      <c r="AF37" s="12"/>
      <c r="AG37" s="12"/>
      <c r="AH37" s="12"/>
      <c r="AI37" s="12"/>
      <c r="AJ37" s="12" t="s">
        <v>49</v>
      </c>
      <c r="AK37" s="12" t="s">
        <v>49</v>
      </c>
      <c r="AL37" s="12"/>
      <c r="AM37" s="12"/>
      <c r="AN37" s="12" t="s">
        <v>49</v>
      </c>
      <c r="AO37" s="12" t="s">
        <v>49</v>
      </c>
      <c r="AP37" s="12"/>
      <c r="AQ37" s="12"/>
      <c r="AR37" s="12" t="s">
        <v>49</v>
      </c>
      <c r="AS37" s="12" t="s">
        <v>49</v>
      </c>
      <c r="AT37" s="12" t="s">
        <v>49</v>
      </c>
      <c r="AU37" s="12"/>
      <c r="AV37" s="12"/>
      <c r="AW37" s="12"/>
      <c r="AX37" s="12" t="s">
        <v>49</v>
      </c>
      <c r="AY37" s="12"/>
      <c r="AZ37" s="12"/>
      <c r="BA37" s="12"/>
      <c r="BB37" s="9" t="s">
        <v>83</v>
      </c>
    </row>
    <row r="38" spans="1:54" s="32" customFormat="1" ht="24.75" customHeight="1" x14ac:dyDescent="0.15">
      <c r="A38" s="32">
        <v>34</v>
      </c>
      <c r="B38" s="14" t="s">
        <v>108</v>
      </c>
      <c r="C38" s="9" t="str">
        <f>"阿蘇温泉病院"</f>
        <v>阿蘇温泉病院</v>
      </c>
      <c r="D38" s="16" t="str">
        <f>"869-2301"</f>
        <v>869-2301</v>
      </c>
      <c r="E38" s="8" t="s">
        <v>84</v>
      </c>
      <c r="F38" s="15">
        <v>967320881</v>
      </c>
      <c r="G38" s="9" t="str">
        <f>"医療法人社団　坂梨会"</f>
        <v>医療法人社団　坂梨会</v>
      </c>
      <c r="H38" s="18">
        <v>27698</v>
      </c>
      <c r="I38" s="18" t="s">
        <v>112</v>
      </c>
      <c r="J38" s="10">
        <f t="shared" si="0"/>
        <v>260</v>
      </c>
      <c r="K38" s="11">
        <v>80</v>
      </c>
      <c r="L38" s="11">
        <v>180</v>
      </c>
      <c r="M38" s="11">
        <v>0</v>
      </c>
      <c r="N38" s="11">
        <v>0</v>
      </c>
      <c r="O38" s="11">
        <v>0</v>
      </c>
      <c r="P38" s="12" t="s">
        <v>220</v>
      </c>
      <c r="Q38" s="12" t="s">
        <v>49</v>
      </c>
      <c r="R38" s="12" t="s">
        <v>49</v>
      </c>
      <c r="S38" s="12"/>
      <c r="T38" s="12" t="s">
        <v>49</v>
      </c>
      <c r="U38" s="12" t="s">
        <v>49</v>
      </c>
      <c r="V38" s="12"/>
      <c r="W38" s="12"/>
      <c r="X38" s="12"/>
      <c r="Y38" s="12" t="s">
        <v>49</v>
      </c>
      <c r="Z38" s="12" t="s">
        <v>49</v>
      </c>
      <c r="AA38" s="12"/>
      <c r="AB38" s="12"/>
      <c r="AC38" s="12"/>
      <c r="AD38" s="12"/>
      <c r="AE38" s="12"/>
      <c r="AF38" s="12"/>
      <c r="AG38" s="12" t="s">
        <v>49</v>
      </c>
      <c r="AH38" s="12"/>
      <c r="AI38" s="12"/>
      <c r="AJ38" s="12" t="s">
        <v>49</v>
      </c>
      <c r="AK38" s="12" t="s">
        <v>49</v>
      </c>
      <c r="AL38" s="12"/>
      <c r="AM38" s="12"/>
      <c r="AN38" s="12" t="s">
        <v>49</v>
      </c>
      <c r="AO38" s="12" t="s">
        <v>49</v>
      </c>
      <c r="AP38" s="12"/>
      <c r="AQ38" s="12"/>
      <c r="AR38" s="12" t="s">
        <v>49</v>
      </c>
      <c r="AS38" s="12"/>
      <c r="AT38" s="12" t="s">
        <v>49</v>
      </c>
      <c r="AU38" s="12"/>
      <c r="AV38" s="12" t="s">
        <v>49</v>
      </c>
      <c r="AW38" s="12"/>
      <c r="AX38" s="12" t="s">
        <v>49</v>
      </c>
      <c r="AY38" s="12"/>
      <c r="AZ38" s="12"/>
      <c r="BA38" s="12"/>
      <c r="BB38" s="9" t="s">
        <v>224</v>
      </c>
    </row>
    <row r="39" spans="1:54" s="32" customFormat="1" ht="24.75" customHeight="1" x14ac:dyDescent="0.15">
      <c r="A39" s="32">
        <v>35</v>
      </c>
      <c r="B39" s="14" t="s">
        <v>108</v>
      </c>
      <c r="C39" s="9" t="str">
        <f>"阿蘇立野病院"</f>
        <v>阿蘇立野病院</v>
      </c>
      <c r="D39" s="16" t="str">
        <f>"869-1401"</f>
        <v>869-1401</v>
      </c>
      <c r="E39" s="8" t="s">
        <v>85</v>
      </c>
      <c r="F39" s="15">
        <v>967680111</v>
      </c>
      <c r="G39" s="9" t="str">
        <f>"医療法人社団　順幸会"</f>
        <v>医療法人社団　順幸会</v>
      </c>
      <c r="H39" s="18">
        <v>32599</v>
      </c>
      <c r="I39" s="18" t="s">
        <v>112</v>
      </c>
      <c r="J39" s="10">
        <f t="shared" si="0"/>
        <v>88</v>
      </c>
      <c r="K39" s="11">
        <v>56</v>
      </c>
      <c r="L39" s="11">
        <v>32</v>
      </c>
      <c r="M39" s="11">
        <v>0</v>
      </c>
      <c r="N39" s="11">
        <v>0</v>
      </c>
      <c r="O39" s="11">
        <v>0</v>
      </c>
      <c r="P39" s="12" t="s">
        <v>220</v>
      </c>
      <c r="Q39" s="12"/>
      <c r="R39" s="12" t="s">
        <v>49</v>
      </c>
      <c r="S39" s="12"/>
      <c r="T39" s="12" t="s">
        <v>49</v>
      </c>
      <c r="U39" s="12"/>
      <c r="V39" s="12"/>
      <c r="W39" s="12"/>
      <c r="X39" s="12"/>
      <c r="Y39" s="12" t="s">
        <v>49</v>
      </c>
      <c r="Z39" s="12" t="s">
        <v>49</v>
      </c>
      <c r="AA39" s="12"/>
      <c r="AB39" s="12"/>
      <c r="AC39" s="12" t="s">
        <v>49</v>
      </c>
      <c r="AD39" s="12"/>
      <c r="AE39" s="12" t="s">
        <v>49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 t="s">
        <v>49</v>
      </c>
      <c r="AP39" s="12"/>
      <c r="AQ39" s="12"/>
      <c r="AR39" s="12" t="s">
        <v>49</v>
      </c>
      <c r="AS39" s="12" t="s">
        <v>49</v>
      </c>
      <c r="AT39" s="12"/>
      <c r="AU39" s="12"/>
      <c r="AV39" s="12"/>
      <c r="AW39" s="12"/>
      <c r="AX39" s="12"/>
      <c r="AY39" s="12"/>
      <c r="AZ39" s="12"/>
      <c r="BA39" s="12"/>
      <c r="BB39" s="9" t="s">
        <v>86</v>
      </c>
    </row>
    <row r="40" spans="1:54" s="32" customFormat="1" ht="24.75" customHeight="1" x14ac:dyDescent="0.15">
      <c r="A40" s="32">
        <v>36</v>
      </c>
      <c r="B40" s="14" t="s">
        <v>108</v>
      </c>
      <c r="C40" s="9" t="str">
        <f>"阿蘇やまなみ病院"</f>
        <v>阿蘇やまなみ病院</v>
      </c>
      <c r="D40" s="16" t="str">
        <f>"869-2612"</f>
        <v>869-2612</v>
      </c>
      <c r="E40" s="8" t="s">
        <v>87</v>
      </c>
      <c r="F40" s="15">
        <v>967220525</v>
      </c>
      <c r="G40" s="9" t="str">
        <f>"医療法人高森会"</f>
        <v>医療法人高森会</v>
      </c>
      <c r="H40" s="18">
        <v>36073</v>
      </c>
      <c r="I40" s="18" t="s">
        <v>112</v>
      </c>
      <c r="J40" s="10">
        <f t="shared" si="0"/>
        <v>270</v>
      </c>
      <c r="K40" s="11">
        <v>0</v>
      </c>
      <c r="L40" s="11">
        <v>0</v>
      </c>
      <c r="M40" s="11">
        <v>270</v>
      </c>
      <c r="N40" s="11">
        <v>0</v>
      </c>
      <c r="O40" s="11">
        <v>0</v>
      </c>
      <c r="P40" s="12" t="s">
        <v>220</v>
      </c>
      <c r="Q40" s="12"/>
      <c r="R40" s="12"/>
      <c r="S40" s="12"/>
      <c r="T40" s="12"/>
      <c r="U40" s="12"/>
      <c r="V40" s="12" t="s">
        <v>220</v>
      </c>
      <c r="W40" s="12" t="s">
        <v>220</v>
      </c>
      <c r="X40" s="12"/>
      <c r="Y40" s="12" t="s">
        <v>49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 t="s">
        <v>49</v>
      </c>
      <c r="AU40" s="12" t="s">
        <v>220</v>
      </c>
      <c r="AV40" s="12"/>
      <c r="AW40" s="12"/>
      <c r="AX40" s="12"/>
      <c r="AY40" s="12"/>
      <c r="AZ40" s="12"/>
      <c r="BA40" s="12"/>
      <c r="BB40" s="9"/>
    </row>
    <row r="41" spans="1:54" s="32" customFormat="1" ht="24.75" customHeight="1" x14ac:dyDescent="0.15">
      <c r="A41" s="32">
        <v>37</v>
      </c>
      <c r="B41" s="14" t="s">
        <v>108</v>
      </c>
      <c r="C41" s="9" t="str">
        <f>"大阿蘇病院"</f>
        <v>大阿蘇病院</v>
      </c>
      <c r="D41" s="16" t="str">
        <f>"869-2612"</f>
        <v>869-2612</v>
      </c>
      <c r="E41" s="8" t="s">
        <v>88</v>
      </c>
      <c r="F41" s="15">
        <v>967222111</v>
      </c>
      <c r="G41" s="9" t="str">
        <f>"医療法人社団　大徳会"</f>
        <v>医療法人社団　大徳会</v>
      </c>
      <c r="H41" s="18">
        <v>30042</v>
      </c>
      <c r="I41" s="18" t="s">
        <v>112</v>
      </c>
      <c r="J41" s="10">
        <f t="shared" si="0"/>
        <v>97</v>
      </c>
      <c r="K41" s="11">
        <v>0</v>
      </c>
      <c r="L41" s="11">
        <v>97</v>
      </c>
      <c r="M41" s="11">
        <v>0</v>
      </c>
      <c r="N41" s="11">
        <v>0</v>
      </c>
      <c r="O41" s="11">
        <v>0</v>
      </c>
      <c r="P41" s="12" t="s">
        <v>220</v>
      </c>
      <c r="Q41" s="12"/>
      <c r="R41" s="12"/>
      <c r="S41" s="12" t="s">
        <v>49</v>
      </c>
      <c r="T41" s="12" t="s">
        <v>49</v>
      </c>
      <c r="U41" s="12"/>
      <c r="V41" s="12"/>
      <c r="W41" s="12"/>
      <c r="X41" s="12"/>
      <c r="Y41" s="12"/>
      <c r="Z41" s="12" t="s">
        <v>49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 t="s">
        <v>49</v>
      </c>
      <c r="AS41" s="12"/>
      <c r="AT41" s="12"/>
      <c r="AU41" s="12"/>
      <c r="AV41" s="12"/>
      <c r="AW41" s="12" t="s">
        <v>49</v>
      </c>
      <c r="AX41" s="12"/>
      <c r="AY41" s="12"/>
      <c r="AZ41" s="12"/>
      <c r="BA41" s="12"/>
      <c r="BB41" s="9"/>
    </row>
    <row r="42" spans="1:54" s="32" customFormat="1" ht="24.75" customHeight="1" x14ac:dyDescent="0.15">
      <c r="A42" s="32">
        <v>38</v>
      </c>
      <c r="B42" s="14" t="s">
        <v>108</v>
      </c>
      <c r="C42" s="9" t="str">
        <f>"小国公立病院"</f>
        <v>小国公立病院</v>
      </c>
      <c r="D42" s="16" t="str">
        <f>"869-2501"</f>
        <v>869-2501</v>
      </c>
      <c r="E42" s="8" t="s">
        <v>89</v>
      </c>
      <c r="F42" s="15">
        <v>967463111</v>
      </c>
      <c r="G42" s="9" t="str">
        <f>"小国町外一ヶ町公立病院組合"</f>
        <v>小国町外一ヶ町公立病院組合</v>
      </c>
      <c r="H42" s="18">
        <v>24077</v>
      </c>
      <c r="I42" s="18" t="s">
        <v>112</v>
      </c>
      <c r="J42" s="10">
        <f t="shared" si="0"/>
        <v>73</v>
      </c>
      <c r="K42" s="11">
        <v>73</v>
      </c>
      <c r="L42" s="11">
        <v>0</v>
      </c>
      <c r="M42" s="11">
        <v>0</v>
      </c>
      <c r="N42" s="11">
        <v>0</v>
      </c>
      <c r="O42" s="11">
        <v>0</v>
      </c>
      <c r="P42" s="12" t="s">
        <v>220</v>
      </c>
      <c r="Q42" s="12"/>
      <c r="R42" s="12"/>
      <c r="S42" s="12" t="s">
        <v>49</v>
      </c>
      <c r="T42" s="12" t="s">
        <v>49</v>
      </c>
      <c r="U42" s="12" t="s">
        <v>49</v>
      </c>
      <c r="V42" s="12" t="s">
        <v>220</v>
      </c>
      <c r="W42" s="12"/>
      <c r="X42" s="12"/>
      <c r="Y42" s="12" t="s">
        <v>49</v>
      </c>
      <c r="Z42" s="12" t="s">
        <v>49</v>
      </c>
      <c r="AA42" s="12"/>
      <c r="AB42" s="12"/>
      <c r="AC42" s="12"/>
      <c r="AD42" s="12"/>
      <c r="AE42" s="12"/>
      <c r="AF42" s="12"/>
      <c r="AG42" s="12" t="s">
        <v>49</v>
      </c>
      <c r="AH42" s="12"/>
      <c r="AI42" s="12"/>
      <c r="AJ42" s="12" t="s">
        <v>49</v>
      </c>
      <c r="AK42" s="12" t="s">
        <v>49</v>
      </c>
      <c r="AL42" s="12"/>
      <c r="AM42" s="12"/>
      <c r="AN42" s="12" t="s">
        <v>49</v>
      </c>
      <c r="AO42" s="12" t="s">
        <v>49</v>
      </c>
      <c r="AP42" s="12"/>
      <c r="AQ42" s="12" t="s">
        <v>49</v>
      </c>
      <c r="AR42" s="12"/>
      <c r="AS42" s="12"/>
      <c r="AT42" s="12" t="s">
        <v>49</v>
      </c>
      <c r="AU42" s="12"/>
      <c r="AV42" s="12"/>
      <c r="AW42" s="12"/>
      <c r="AX42" s="12"/>
      <c r="AY42" s="12"/>
      <c r="AZ42" s="12"/>
      <c r="BA42" s="12"/>
      <c r="BB42" s="9"/>
    </row>
    <row r="43" spans="1:54" s="32" customFormat="1" ht="43.5" customHeight="1" x14ac:dyDescent="0.15">
      <c r="A43" s="32">
        <v>39</v>
      </c>
      <c r="B43" s="14" t="s">
        <v>108</v>
      </c>
      <c r="C43" s="9" t="str">
        <f>"阿蘇医療センター"</f>
        <v>阿蘇医療センター</v>
      </c>
      <c r="D43" s="16" t="str">
        <f>"869-2225"</f>
        <v>869-2225</v>
      </c>
      <c r="E43" s="8" t="s">
        <v>225</v>
      </c>
      <c r="F43" s="15">
        <v>967340311</v>
      </c>
      <c r="G43" s="9" t="str">
        <f>"阿蘇市"</f>
        <v>阿蘇市</v>
      </c>
      <c r="H43" s="18">
        <v>41855</v>
      </c>
      <c r="I43" s="18" t="s">
        <v>112</v>
      </c>
      <c r="J43" s="10">
        <f t="shared" si="0"/>
        <v>124</v>
      </c>
      <c r="K43" s="11">
        <v>120</v>
      </c>
      <c r="L43" s="11">
        <v>0</v>
      </c>
      <c r="M43" s="11">
        <v>0</v>
      </c>
      <c r="N43" s="11">
        <v>0</v>
      </c>
      <c r="O43" s="11">
        <v>4</v>
      </c>
      <c r="P43" s="12" t="s">
        <v>220</v>
      </c>
      <c r="Q43" s="12"/>
      <c r="R43" s="12"/>
      <c r="S43" s="12"/>
      <c r="T43" s="12"/>
      <c r="U43" s="12" t="s">
        <v>49</v>
      </c>
      <c r="V43" s="12"/>
      <c r="W43" s="12"/>
      <c r="X43" s="12"/>
      <c r="Y43" s="12"/>
      <c r="Z43" s="12" t="s">
        <v>49</v>
      </c>
      <c r="AA43" s="12"/>
      <c r="AB43" s="12"/>
      <c r="AC43" s="12" t="s">
        <v>49</v>
      </c>
      <c r="AD43" s="12"/>
      <c r="AE43" s="12"/>
      <c r="AF43" s="12"/>
      <c r="AG43" s="12"/>
      <c r="AH43" s="12"/>
      <c r="AI43" s="13" t="s">
        <v>220</v>
      </c>
      <c r="AJ43" s="12"/>
      <c r="AK43" s="12" t="s">
        <v>49</v>
      </c>
      <c r="AL43" s="12"/>
      <c r="AM43" s="12"/>
      <c r="AN43" s="12" t="s">
        <v>49</v>
      </c>
      <c r="AO43" s="12"/>
      <c r="AP43" s="12"/>
      <c r="AQ43" s="12"/>
      <c r="AR43" s="12" t="s">
        <v>49</v>
      </c>
      <c r="AS43" s="12" t="s">
        <v>49</v>
      </c>
      <c r="AT43" s="12"/>
      <c r="AU43" s="12"/>
      <c r="AV43" s="12"/>
      <c r="AW43" s="12"/>
      <c r="AX43" s="12"/>
      <c r="AY43" s="12"/>
      <c r="AZ43" s="12"/>
      <c r="BA43" s="12" t="s">
        <v>49</v>
      </c>
      <c r="BB43" s="9" t="s">
        <v>90</v>
      </c>
    </row>
    <row r="44" spans="1:54" s="32" customFormat="1" ht="24.75" customHeight="1" x14ac:dyDescent="0.15">
      <c r="A44" s="32">
        <v>40</v>
      </c>
      <c r="B44" s="12" t="str">
        <f t="shared" ref="B44:B56" si="2">"御船"</f>
        <v>御船</v>
      </c>
      <c r="C44" s="9" t="str">
        <f>"リハビリテーションセンター　熊本回生会病院"</f>
        <v>リハビリテーションセンター　熊本回生会病院</v>
      </c>
      <c r="D44" s="16" t="str">
        <f>"861-3101"</f>
        <v>861-3101</v>
      </c>
      <c r="E44" s="8" t="s">
        <v>114</v>
      </c>
      <c r="F44" s="15">
        <v>962371133</v>
      </c>
      <c r="G44" s="9" t="str">
        <f>"医療法人　回生会"</f>
        <v>医療法人　回生会</v>
      </c>
      <c r="H44" s="18">
        <v>28580</v>
      </c>
      <c r="I44" s="18" t="s">
        <v>112</v>
      </c>
      <c r="J44" s="10">
        <f t="shared" si="0"/>
        <v>161</v>
      </c>
      <c r="K44" s="11">
        <v>110</v>
      </c>
      <c r="L44" s="11">
        <v>51</v>
      </c>
      <c r="M44" s="11">
        <v>0</v>
      </c>
      <c r="N44" s="11">
        <v>0</v>
      </c>
      <c r="O44" s="11">
        <v>0</v>
      </c>
      <c r="P44" s="12" t="s">
        <v>220</v>
      </c>
      <c r="Q44" s="12"/>
      <c r="R44" s="12"/>
      <c r="S44" s="12"/>
      <c r="T44" s="12"/>
      <c r="U44" s="12"/>
      <c r="V44" s="12"/>
      <c r="W44" s="12"/>
      <c r="X44" s="12"/>
      <c r="Y44" s="12" t="s">
        <v>49</v>
      </c>
      <c r="Z44" s="12" t="s">
        <v>49</v>
      </c>
      <c r="AA44" s="12"/>
      <c r="AB44" s="12"/>
      <c r="AC44" s="12" t="s">
        <v>49</v>
      </c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 t="s">
        <v>49</v>
      </c>
      <c r="AS44" s="12" t="s">
        <v>49</v>
      </c>
      <c r="AT44" s="12" t="s">
        <v>49</v>
      </c>
      <c r="AU44" s="12"/>
      <c r="AV44" s="12"/>
      <c r="AW44" s="12" t="s">
        <v>49</v>
      </c>
      <c r="AX44" s="12" t="s">
        <v>49</v>
      </c>
      <c r="AY44" s="12"/>
      <c r="AZ44" s="12"/>
      <c r="BA44" s="12" t="s">
        <v>49</v>
      </c>
      <c r="BB44" s="9" t="s">
        <v>116</v>
      </c>
    </row>
    <row r="45" spans="1:54" s="32" customFormat="1" ht="24.75" customHeight="1" x14ac:dyDescent="0.15">
      <c r="A45" s="32">
        <v>41</v>
      </c>
      <c r="B45" s="12" t="str">
        <f t="shared" si="2"/>
        <v>御船</v>
      </c>
      <c r="C45" s="9" t="str">
        <f>"東熊本病院"</f>
        <v>東熊本病院</v>
      </c>
      <c r="D45" s="16" t="str">
        <f>"861-2233"</f>
        <v>861-2233</v>
      </c>
      <c r="E45" s="8" t="s">
        <v>117</v>
      </c>
      <c r="F45" s="15">
        <v>962862525</v>
      </c>
      <c r="G45" s="9" t="str">
        <f>"医療法人　永田会"</f>
        <v>医療法人　永田会</v>
      </c>
      <c r="H45" s="18">
        <v>30527</v>
      </c>
      <c r="I45" s="18" t="s">
        <v>118</v>
      </c>
      <c r="J45" s="10">
        <f t="shared" si="0"/>
        <v>52</v>
      </c>
      <c r="K45" s="11">
        <v>52</v>
      </c>
      <c r="L45" s="11">
        <v>0</v>
      </c>
      <c r="M45" s="11">
        <v>0</v>
      </c>
      <c r="N45" s="11">
        <v>0</v>
      </c>
      <c r="O45" s="11">
        <v>0</v>
      </c>
      <c r="P45" s="12" t="s">
        <v>220</v>
      </c>
      <c r="Q45" s="12"/>
      <c r="R45" s="12"/>
      <c r="S45" s="12"/>
      <c r="T45" s="12"/>
      <c r="U45" s="12" t="s">
        <v>49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 t="s">
        <v>49</v>
      </c>
      <c r="AO45" s="12"/>
      <c r="AP45" s="12"/>
      <c r="AQ45" s="12"/>
      <c r="AR45" s="12" t="s">
        <v>49</v>
      </c>
      <c r="AS45" s="12" t="s">
        <v>49</v>
      </c>
      <c r="AT45" s="12"/>
      <c r="AU45" s="12"/>
      <c r="AV45" s="12"/>
      <c r="AW45" s="12"/>
      <c r="AX45" s="12"/>
      <c r="AY45" s="12"/>
      <c r="AZ45" s="12"/>
      <c r="BA45" s="12"/>
      <c r="BB45" s="9" t="s">
        <v>119</v>
      </c>
    </row>
    <row r="46" spans="1:54" s="32" customFormat="1" ht="24.75" customHeight="1" x14ac:dyDescent="0.15">
      <c r="A46" s="32">
        <v>42</v>
      </c>
      <c r="B46" s="12" t="str">
        <f t="shared" si="2"/>
        <v>御船</v>
      </c>
      <c r="C46" s="9" t="str">
        <f>"益城中央病院"</f>
        <v>益城中央病院</v>
      </c>
      <c r="D46" s="16" t="str">
        <f>"861-2241"</f>
        <v>861-2241</v>
      </c>
      <c r="E46" s="8" t="s">
        <v>120</v>
      </c>
      <c r="F46" s="15">
        <v>962863151</v>
      </c>
      <c r="G46" s="9" t="str">
        <f>"医療法人　宮本会"</f>
        <v>医療法人　宮本会</v>
      </c>
      <c r="H46" s="18">
        <v>25688</v>
      </c>
      <c r="I46" s="18" t="s">
        <v>112</v>
      </c>
      <c r="J46" s="10">
        <f>K46+L46+M46+N46+O46</f>
        <v>30</v>
      </c>
      <c r="K46" s="11">
        <v>0</v>
      </c>
      <c r="L46" s="11">
        <v>30</v>
      </c>
      <c r="M46" s="11">
        <v>0</v>
      </c>
      <c r="N46" s="11">
        <v>0</v>
      </c>
      <c r="O46" s="11">
        <v>0</v>
      </c>
      <c r="P46" s="12" t="s">
        <v>220</v>
      </c>
      <c r="Q46" s="12" t="s">
        <v>49</v>
      </c>
      <c r="R46" s="12" t="s">
        <v>49</v>
      </c>
      <c r="S46" s="12" t="s">
        <v>49</v>
      </c>
      <c r="T46" s="12" t="s">
        <v>49</v>
      </c>
      <c r="U46" s="12" t="s">
        <v>49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 t="s">
        <v>49</v>
      </c>
      <c r="AT46" s="12"/>
      <c r="AU46" s="12"/>
      <c r="AV46" s="12"/>
      <c r="AW46" s="12"/>
      <c r="AX46" s="12"/>
      <c r="AY46" s="12"/>
      <c r="AZ46" s="12"/>
      <c r="BA46" s="12"/>
      <c r="BB46" s="9" t="s">
        <v>121</v>
      </c>
    </row>
    <row r="47" spans="1:54" s="32" customFormat="1" ht="28.5" customHeight="1" x14ac:dyDescent="0.15">
      <c r="A47" s="32">
        <v>43</v>
      </c>
      <c r="B47" s="12" t="str">
        <f t="shared" si="2"/>
        <v>御船</v>
      </c>
      <c r="C47" s="9" t="str">
        <f>"さくら病院"</f>
        <v>さくら病院</v>
      </c>
      <c r="D47" s="16" t="str">
        <f>"861-2236"</f>
        <v>861-2236</v>
      </c>
      <c r="E47" s="8" t="s">
        <v>122</v>
      </c>
      <c r="F47" s="15">
        <v>962868111</v>
      </c>
      <c r="G47" s="9" t="str">
        <f>"医療法人社団　広崎会"</f>
        <v>医療法人社団　広崎会</v>
      </c>
      <c r="H47" s="18">
        <v>30773</v>
      </c>
      <c r="I47" s="18" t="s">
        <v>112</v>
      </c>
      <c r="J47" s="10">
        <f>K47+L47+M47+N47+O47</f>
        <v>164</v>
      </c>
      <c r="K47" s="11">
        <v>0</v>
      </c>
      <c r="L47" s="11">
        <v>164</v>
      </c>
      <c r="M47" s="11">
        <v>0</v>
      </c>
      <c r="N47" s="11">
        <v>0</v>
      </c>
      <c r="O47" s="11">
        <v>0</v>
      </c>
      <c r="P47" s="12" t="s">
        <v>220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 t="s">
        <v>49</v>
      </c>
      <c r="AS47" s="12" t="s">
        <v>49</v>
      </c>
      <c r="AT47" s="12"/>
      <c r="AU47" s="12"/>
      <c r="AV47" s="12"/>
      <c r="AW47" s="12"/>
      <c r="AX47" s="12"/>
      <c r="AY47" s="12"/>
      <c r="AZ47" s="12"/>
      <c r="BA47" s="12"/>
      <c r="BB47" s="9" t="s">
        <v>123</v>
      </c>
    </row>
    <row r="48" spans="1:54" s="32" customFormat="1" ht="24.75" customHeight="1" x14ac:dyDescent="0.15">
      <c r="A48" s="32">
        <v>44</v>
      </c>
      <c r="B48" s="12" t="str">
        <f t="shared" si="2"/>
        <v>御船</v>
      </c>
      <c r="C48" s="9" t="str">
        <f>"荒瀬病院"</f>
        <v>荒瀬病院</v>
      </c>
      <c r="D48" s="16" t="str">
        <f>"861-4602"</f>
        <v>861-4602</v>
      </c>
      <c r="E48" s="8" t="s">
        <v>124</v>
      </c>
      <c r="F48" s="15">
        <v>962341161</v>
      </c>
      <c r="G48" s="9" t="str">
        <f>"医療法人　荒瀬会"</f>
        <v>医療法人　荒瀬会</v>
      </c>
      <c r="H48" s="18">
        <v>20302</v>
      </c>
      <c r="I48" s="18" t="s">
        <v>112</v>
      </c>
      <c r="J48" s="10">
        <f t="shared" ref="J48:J57" si="3">K48+L48+M48+N48+O48</f>
        <v>25</v>
      </c>
      <c r="K48" s="11">
        <v>0</v>
      </c>
      <c r="L48" s="11">
        <v>25</v>
      </c>
      <c r="M48" s="11">
        <v>0</v>
      </c>
      <c r="N48" s="11">
        <v>0</v>
      </c>
      <c r="O48" s="11">
        <v>0</v>
      </c>
      <c r="P48" s="12" t="s">
        <v>220</v>
      </c>
      <c r="Q48" s="12"/>
      <c r="R48" s="12"/>
      <c r="S48" s="12"/>
      <c r="T48" s="12"/>
      <c r="U48" s="12"/>
      <c r="V48" s="12"/>
      <c r="W48" s="12"/>
      <c r="X48" s="12"/>
      <c r="Y48" s="12" t="s">
        <v>49</v>
      </c>
      <c r="Z48" s="12" t="s">
        <v>49</v>
      </c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 t="s">
        <v>49</v>
      </c>
      <c r="AS48" s="12"/>
      <c r="AT48" s="12"/>
      <c r="AU48" s="12"/>
      <c r="AV48" s="12"/>
      <c r="AW48" s="12"/>
      <c r="AX48" s="12"/>
      <c r="AY48" s="12"/>
      <c r="AZ48" s="12"/>
      <c r="BA48" s="12"/>
      <c r="BB48" s="9" t="s">
        <v>125</v>
      </c>
    </row>
    <row r="49" spans="1:54" s="32" customFormat="1" ht="24.75" customHeight="1" x14ac:dyDescent="0.15">
      <c r="A49" s="32">
        <v>45</v>
      </c>
      <c r="B49" s="12" t="str">
        <f t="shared" si="2"/>
        <v>御船</v>
      </c>
      <c r="C49" s="9" t="str">
        <f>"谷田病院"</f>
        <v>谷田病院</v>
      </c>
      <c r="D49" s="16" t="str">
        <f>"861-4601"</f>
        <v>861-4601</v>
      </c>
      <c r="E49" s="8" t="s">
        <v>126</v>
      </c>
      <c r="F49" s="15">
        <v>962341248</v>
      </c>
      <c r="G49" s="9" t="str">
        <f>"医療法人　谷田会"</f>
        <v>医療法人　谷田会</v>
      </c>
      <c r="H49" s="18">
        <v>19511</v>
      </c>
      <c r="I49" s="18" t="s">
        <v>112</v>
      </c>
      <c r="J49" s="10">
        <f t="shared" si="3"/>
        <v>85</v>
      </c>
      <c r="K49" s="11">
        <v>39</v>
      </c>
      <c r="L49" s="11">
        <v>46</v>
      </c>
      <c r="M49" s="11">
        <v>0</v>
      </c>
      <c r="N49" s="11">
        <v>0</v>
      </c>
      <c r="O49" s="11">
        <v>0</v>
      </c>
      <c r="P49" s="12" t="s">
        <v>220</v>
      </c>
      <c r="Q49" s="12"/>
      <c r="R49" s="12"/>
      <c r="S49" s="12"/>
      <c r="T49" s="12"/>
      <c r="U49" s="12" t="s">
        <v>49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 t="s">
        <v>49</v>
      </c>
      <c r="AS49" s="12"/>
      <c r="AT49" s="12"/>
      <c r="AU49" s="12"/>
      <c r="AV49" s="12"/>
      <c r="AW49" s="12"/>
      <c r="AX49" s="12"/>
      <c r="AY49" s="12"/>
      <c r="AZ49" s="12"/>
      <c r="BA49" s="12"/>
      <c r="BB49" s="9" t="s">
        <v>127</v>
      </c>
    </row>
    <row r="50" spans="1:54" s="32" customFormat="1" ht="24.75" customHeight="1" x14ac:dyDescent="0.15">
      <c r="A50" s="32">
        <v>46</v>
      </c>
      <c r="B50" s="12" t="str">
        <f t="shared" si="2"/>
        <v>御船</v>
      </c>
      <c r="C50" s="9" t="str">
        <f>"瀬戸病院"</f>
        <v>瀬戸病院</v>
      </c>
      <c r="D50" s="16" t="str">
        <f>"861-3455"</f>
        <v>861-3455</v>
      </c>
      <c r="E50" s="8" t="s">
        <v>128</v>
      </c>
      <c r="F50" s="15">
        <v>967750111</v>
      </c>
      <c r="G50" s="9" t="str">
        <f>"医療法人　幸翔会"</f>
        <v>医療法人　幸翔会</v>
      </c>
      <c r="H50" s="18">
        <v>26668</v>
      </c>
      <c r="I50" s="18" t="s">
        <v>112</v>
      </c>
      <c r="J50" s="10">
        <f t="shared" si="3"/>
        <v>50</v>
      </c>
      <c r="K50" s="11">
        <v>0</v>
      </c>
      <c r="L50" s="11">
        <v>50</v>
      </c>
      <c r="M50" s="11">
        <v>0</v>
      </c>
      <c r="N50" s="11">
        <v>0</v>
      </c>
      <c r="O50" s="11">
        <v>0</v>
      </c>
      <c r="P50" s="12" t="s">
        <v>220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 t="s">
        <v>49</v>
      </c>
      <c r="AK50" s="12"/>
      <c r="AL50" s="12"/>
      <c r="AM50" s="12"/>
      <c r="AN50" s="12"/>
      <c r="AO50" s="12" t="s">
        <v>49</v>
      </c>
      <c r="AP50" s="12"/>
      <c r="AQ50" s="12"/>
      <c r="AR50" s="12" t="s">
        <v>49</v>
      </c>
      <c r="AS50" s="12"/>
      <c r="AT50" s="12"/>
      <c r="AU50" s="12"/>
      <c r="AV50" s="12"/>
      <c r="AW50" s="12"/>
      <c r="AX50" s="12"/>
      <c r="AY50" s="12"/>
      <c r="AZ50" s="12"/>
      <c r="BA50" s="12"/>
      <c r="BB50" s="9"/>
    </row>
    <row r="51" spans="1:54" s="32" customFormat="1" ht="24.75" customHeight="1" x14ac:dyDescent="0.15">
      <c r="A51" s="32">
        <v>47</v>
      </c>
      <c r="B51" s="12" t="str">
        <f t="shared" si="2"/>
        <v>御船</v>
      </c>
      <c r="C51" s="9" t="str">
        <f>"矢部広域病院"</f>
        <v>矢部広域病院</v>
      </c>
      <c r="D51" s="16" t="str">
        <f>"861-3512"</f>
        <v>861-3512</v>
      </c>
      <c r="E51" s="8" t="s">
        <v>129</v>
      </c>
      <c r="F51" s="15">
        <v>967721121</v>
      </c>
      <c r="G51" s="9" t="str">
        <f>"医療法人　杏章会"</f>
        <v>医療法人　杏章会</v>
      </c>
      <c r="H51" s="18">
        <v>18719</v>
      </c>
      <c r="I51" s="18" t="s">
        <v>112</v>
      </c>
      <c r="J51" s="10">
        <f t="shared" si="3"/>
        <v>85</v>
      </c>
      <c r="K51" s="11">
        <v>60</v>
      </c>
      <c r="L51" s="11">
        <v>25</v>
      </c>
      <c r="M51" s="11">
        <v>0</v>
      </c>
      <c r="N51" s="11">
        <v>0</v>
      </c>
      <c r="O51" s="11">
        <v>0</v>
      </c>
      <c r="P51" s="12" t="s">
        <v>220</v>
      </c>
      <c r="Q51" s="12"/>
      <c r="R51" s="12"/>
      <c r="S51" s="12"/>
      <c r="T51" s="12"/>
      <c r="U51" s="12"/>
      <c r="V51" s="12"/>
      <c r="W51" s="12"/>
      <c r="X51" s="12"/>
      <c r="Y51" s="12" t="s">
        <v>49</v>
      </c>
      <c r="Z51" s="12" t="s">
        <v>49</v>
      </c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 t="s">
        <v>49</v>
      </c>
      <c r="AU51" s="12"/>
      <c r="AV51" s="12"/>
      <c r="AW51" s="12"/>
      <c r="AX51" s="12"/>
      <c r="AY51" s="12"/>
      <c r="AZ51" s="12"/>
      <c r="BA51" s="12"/>
      <c r="BB51" s="9" t="s">
        <v>130</v>
      </c>
    </row>
    <row r="52" spans="1:54" s="32" customFormat="1" ht="24.75" customHeight="1" x14ac:dyDescent="0.15">
      <c r="A52" s="32">
        <v>48</v>
      </c>
      <c r="B52" s="12" t="str">
        <f t="shared" si="2"/>
        <v>御船</v>
      </c>
      <c r="C52" s="9" t="str">
        <f>"伴病院"</f>
        <v>伴病院</v>
      </c>
      <c r="D52" s="16" t="str">
        <f>"861-3518"</f>
        <v>861-3518</v>
      </c>
      <c r="E52" s="8" t="s">
        <v>131</v>
      </c>
      <c r="F52" s="15">
        <v>967720029</v>
      </c>
      <c r="G52" s="9" t="str">
        <f>"医療法人　潤幸会"</f>
        <v>医療法人　潤幸会</v>
      </c>
      <c r="H52" s="18">
        <v>19457</v>
      </c>
      <c r="I52" s="18" t="s">
        <v>112</v>
      </c>
      <c r="J52" s="10">
        <f t="shared" si="3"/>
        <v>36</v>
      </c>
      <c r="K52" s="11">
        <v>0</v>
      </c>
      <c r="L52" s="11">
        <v>36</v>
      </c>
      <c r="M52" s="11">
        <v>0</v>
      </c>
      <c r="N52" s="11">
        <v>0</v>
      </c>
      <c r="O52" s="11">
        <v>0</v>
      </c>
      <c r="P52" s="12" t="s">
        <v>220</v>
      </c>
      <c r="Q52" s="12"/>
      <c r="R52" s="12"/>
      <c r="S52" s="12"/>
      <c r="T52" s="12"/>
      <c r="U52" s="12"/>
      <c r="V52" s="12"/>
      <c r="W52" s="12"/>
      <c r="X52" s="12"/>
      <c r="Y52" s="12" t="s">
        <v>49</v>
      </c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 t="s">
        <v>49</v>
      </c>
      <c r="AS52" s="12"/>
      <c r="AT52" s="12"/>
      <c r="AU52" s="12"/>
      <c r="AV52" s="12"/>
      <c r="AW52" s="12"/>
      <c r="AX52" s="12"/>
      <c r="AY52" s="12"/>
      <c r="AZ52" s="12"/>
      <c r="BA52" s="12"/>
      <c r="BB52" s="9"/>
    </row>
    <row r="53" spans="1:54" s="32" customFormat="1" ht="24.75" customHeight="1" x14ac:dyDescent="0.15">
      <c r="A53" s="32">
        <v>49</v>
      </c>
      <c r="B53" s="12" t="str">
        <f t="shared" si="2"/>
        <v>御船</v>
      </c>
      <c r="C53" s="9" t="str">
        <f>"希望ケ丘病院"</f>
        <v>希望ケ丘病院</v>
      </c>
      <c r="D53" s="16" t="str">
        <f>"861-3131"</f>
        <v>861-3131</v>
      </c>
      <c r="E53" s="8" t="s">
        <v>132</v>
      </c>
      <c r="F53" s="15">
        <v>962821045</v>
      </c>
      <c r="G53" s="9" t="str">
        <f>"医療法人社団　松本会"</f>
        <v>医療法人社団　松本会</v>
      </c>
      <c r="H53" s="18">
        <v>23340</v>
      </c>
      <c r="I53" s="18" t="s">
        <v>112</v>
      </c>
      <c r="J53" s="10">
        <f t="shared" si="3"/>
        <v>162</v>
      </c>
      <c r="K53" s="11">
        <v>0</v>
      </c>
      <c r="L53" s="11">
        <v>0</v>
      </c>
      <c r="M53" s="11">
        <v>162</v>
      </c>
      <c r="N53" s="11">
        <v>0</v>
      </c>
      <c r="O53" s="11">
        <v>0</v>
      </c>
      <c r="P53" s="12"/>
      <c r="Q53" s="12"/>
      <c r="R53" s="12"/>
      <c r="S53" s="12"/>
      <c r="T53" s="12"/>
      <c r="U53" s="12" t="s">
        <v>49</v>
      </c>
      <c r="V53" s="12" t="s">
        <v>220</v>
      </c>
      <c r="W53" s="12"/>
      <c r="X53" s="12" t="s">
        <v>49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 t="s">
        <v>220</v>
      </c>
      <c r="AV53" s="12"/>
      <c r="AW53" s="12"/>
      <c r="AX53" s="12"/>
      <c r="AY53" s="12"/>
      <c r="AZ53" s="12"/>
      <c r="BA53" s="12"/>
      <c r="BB53" s="9" t="s">
        <v>50</v>
      </c>
    </row>
    <row r="54" spans="1:54" s="32" customFormat="1" ht="24.75" customHeight="1" x14ac:dyDescent="0.15">
      <c r="A54" s="32">
        <v>50</v>
      </c>
      <c r="B54" s="12" t="str">
        <f t="shared" si="2"/>
        <v>御船</v>
      </c>
      <c r="C54" s="9" t="str">
        <f>"山都町包括医療センターそよう病院"</f>
        <v>山都町包括医療センターそよう病院</v>
      </c>
      <c r="D54" s="16" t="s">
        <v>133</v>
      </c>
      <c r="E54" s="8" t="s">
        <v>226</v>
      </c>
      <c r="F54" s="15">
        <v>967831122</v>
      </c>
      <c r="G54" s="9" t="str">
        <f>"山都町"</f>
        <v>山都町</v>
      </c>
      <c r="H54" s="18">
        <v>41225</v>
      </c>
      <c r="I54" s="18" t="s">
        <v>112</v>
      </c>
      <c r="J54" s="10">
        <f t="shared" si="3"/>
        <v>57</v>
      </c>
      <c r="K54" s="11">
        <v>57</v>
      </c>
      <c r="L54" s="11">
        <v>0</v>
      </c>
      <c r="M54" s="11">
        <v>0</v>
      </c>
      <c r="N54" s="11">
        <v>0</v>
      </c>
      <c r="O54" s="11">
        <v>0</v>
      </c>
      <c r="P54" s="12" t="s">
        <v>220</v>
      </c>
      <c r="Q54" s="12" t="s">
        <v>49</v>
      </c>
      <c r="R54" s="12"/>
      <c r="S54" s="12"/>
      <c r="T54" s="12" t="s">
        <v>49</v>
      </c>
      <c r="U54" s="12" t="s">
        <v>49</v>
      </c>
      <c r="V54" s="12" t="s">
        <v>220</v>
      </c>
      <c r="W54" s="12"/>
      <c r="X54" s="12"/>
      <c r="Y54" s="12" t="s">
        <v>49</v>
      </c>
      <c r="Z54" s="12" t="s">
        <v>49</v>
      </c>
      <c r="AA54" s="12"/>
      <c r="AB54" s="12"/>
      <c r="AC54" s="12"/>
      <c r="AD54" s="12"/>
      <c r="AE54" s="12"/>
      <c r="AF54" s="12" t="s">
        <v>49</v>
      </c>
      <c r="AG54" s="12"/>
      <c r="AH54" s="12"/>
      <c r="AI54" s="12"/>
      <c r="AJ54" s="12" t="s">
        <v>49</v>
      </c>
      <c r="AK54" s="12"/>
      <c r="AL54" s="12"/>
      <c r="AM54" s="12"/>
      <c r="AN54" s="12"/>
      <c r="AO54" s="12"/>
      <c r="AP54" s="12"/>
      <c r="AQ54" s="12"/>
      <c r="AR54" s="12" t="s">
        <v>49</v>
      </c>
      <c r="AS54" s="12"/>
      <c r="AT54" s="12"/>
      <c r="AU54" s="12" t="s">
        <v>220</v>
      </c>
      <c r="AV54" s="12"/>
      <c r="AW54" s="12"/>
      <c r="AX54" s="12" t="s">
        <v>49</v>
      </c>
      <c r="AY54" s="12"/>
      <c r="AZ54" s="12"/>
      <c r="BA54" s="12" t="s">
        <v>49</v>
      </c>
      <c r="BB54" s="9" t="s">
        <v>134</v>
      </c>
    </row>
    <row r="55" spans="1:54" s="32" customFormat="1" ht="24.75" customHeight="1" x14ac:dyDescent="0.15">
      <c r="A55" s="32">
        <v>51</v>
      </c>
      <c r="B55" s="12" t="str">
        <f t="shared" si="2"/>
        <v>御船</v>
      </c>
      <c r="C55" s="9" t="str">
        <f>"西村病院"</f>
        <v>西村病院</v>
      </c>
      <c r="D55" s="31" t="str">
        <f>"861-3104"</f>
        <v>861-3104</v>
      </c>
      <c r="E55" s="8" t="s">
        <v>227</v>
      </c>
      <c r="F55" s="15">
        <v>962371551</v>
      </c>
      <c r="G55" s="9" t="str">
        <f>"医療法人社団　栄康会"</f>
        <v>医療法人社団　栄康会</v>
      </c>
      <c r="H55" s="18">
        <v>43221</v>
      </c>
      <c r="I55" s="18" t="s">
        <v>112</v>
      </c>
      <c r="J55" s="10">
        <f t="shared" si="3"/>
        <v>42</v>
      </c>
      <c r="K55" s="11">
        <v>0</v>
      </c>
      <c r="L55" s="11">
        <v>42</v>
      </c>
      <c r="M55" s="11">
        <v>0</v>
      </c>
      <c r="N55" s="11">
        <v>0</v>
      </c>
      <c r="O55" s="11">
        <v>0</v>
      </c>
      <c r="P55" s="12" t="s">
        <v>220</v>
      </c>
      <c r="Q55" s="12"/>
      <c r="R55" s="12"/>
      <c r="S55" s="12" t="s">
        <v>49</v>
      </c>
      <c r="T55" s="12"/>
      <c r="U55" s="12"/>
      <c r="V55" s="12"/>
      <c r="W55" s="12"/>
      <c r="X55" s="12" t="s">
        <v>49</v>
      </c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 t="s">
        <v>49</v>
      </c>
      <c r="AS55" s="12"/>
      <c r="AT55" s="12"/>
      <c r="AU55" s="12"/>
      <c r="AV55" s="12"/>
      <c r="AW55" s="12"/>
      <c r="AX55" s="12"/>
      <c r="AY55" s="12"/>
      <c r="AZ55" s="12"/>
      <c r="BA55" s="12"/>
      <c r="BB55" s="9"/>
    </row>
    <row r="56" spans="1:54" s="32" customFormat="1" ht="24.75" customHeight="1" x14ac:dyDescent="0.15">
      <c r="A56" s="32">
        <v>52</v>
      </c>
      <c r="B56" s="12" t="str">
        <f t="shared" si="2"/>
        <v>御船</v>
      </c>
      <c r="C56" s="9" t="str">
        <f>"益城病院"</f>
        <v>益城病院</v>
      </c>
      <c r="D56" s="16" t="s">
        <v>228</v>
      </c>
      <c r="E56" s="8" t="s">
        <v>135</v>
      </c>
      <c r="F56" s="15">
        <v>962863611</v>
      </c>
      <c r="G56" s="9" t="str">
        <f>"社会医療法人ましき会"</f>
        <v>社会医療法人ましき会</v>
      </c>
      <c r="H56" s="18">
        <v>43586</v>
      </c>
      <c r="I56" s="18" t="s">
        <v>112</v>
      </c>
      <c r="J56" s="10">
        <f t="shared" si="3"/>
        <v>210</v>
      </c>
      <c r="K56" s="11">
        <v>0</v>
      </c>
      <c r="L56" s="11">
        <v>0</v>
      </c>
      <c r="M56" s="11">
        <v>210</v>
      </c>
      <c r="N56" s="11">
        <v>0</v>
      </c>
      <c r="O56" s="11">
        <v>0</v>
      </c>
      <c r="P56" s="12"/>
      <c r="Q56" s="12"/>
      <c r="R56" s="12"/>
      <c r="S56" s="12"/>
      <c r="T56" s="12"/>
      <c r="U56" s="12" t="s">
        <v>49</v>
      </c>
      <c r="V56" s="12" t="s">
        <v>220</v>
      </c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 t="s">
        <v>220</v>
      </c>
      <c r="AV56" s="12"/>
      <c r="AW56" s="12"/>
      <c r="AX56" s="12" t="s">
        <v>49</v>
      </c>
      <c r="AY56" s="12"/>
      <c r="AZ56" s="12"/>
      <c r="BA56" s="12"/>
      <c r="BB56" s="9"/>
    </row>
    <row r="57" spans="1:54" s="32" customFormat="1" ht="24.75" customHeight="1" x14ac:dyDescent="0.15">
      <c r="A57" s="32">
        <v>53</v>
      </c>
      <c r="B57" s="12" t="str">
        <f t="shared" ref="B57:B66" si="4">"宇城"</f>
        <v>宇城</v>
      </c>
      <c r="C57" s="9" t="str">
        <f>"熊本県こども総合療育センター"</f>
        <v>熊本県こども総合療育センター</v>
      </c>
      <c r="D57" s="16" t="str">
        <f>"869-0524"</f>
        <v>869-0524</v>
      </c>
      <c r="E57" s="8" t="s">
        <v>136</v>
      </c>
      <c r="F57" s="15">
        <v>964321143</v>
      </c>
      <c r="G57" s="9" t="str">
        <f>"熊本県"</f>
        <v>熊本県</v>
      </c>
      <c r="H57" s="18">
        <v>26526</v>
      </c>
      <c r="I57" s="18" t="s">
        <v>112</v>
      </c>
      <c r="J57" s="10">
        <f t="shared" si="3"/>
        <v>60</v>
      </c>
      <c r="K57" s="11">
        <v>60</v>
      </c>
      <c r="L57" s="11">
        <v>0</v>
      </c>
      <c r="M57" s="11">
        <v>0</v>
      </c>
      <c r="N57" s="11">
        <v>0</v>
      </c>
      <c r="O57" s="11">
        <v>0</v>
      </c>
      <c r="P57" s="12"/>
      <c r="Q57" s="12"/>
      <c r="R57" s="12"/>
      <c r="S57" s="12"/>
      <c r="T57" s="12"/>
      <c r="U57" s="12" t="s">
        <v>49</v>
      </c>
      <c r="V57" s="12" t="s">
        <v>220</v>
      </c>
      <c r="W57" s="12"/>
      <c r="X57" s="12"/>
      <c r="Y57" s="12"/>
      <c r="Z57" s="12" t="s">
        <v>49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 t="s">
        <v>49</v>
      </c>
      <c r="AP57" s="12"/>
      <c r="AQ57" s="12"/>
      <c r="AR57" s="12" t="s">
        <v>49</v>
      </c>
      <c r="AS57" s="12"/>
      <c r="AT57" s="12"/>
      <c r="AU57" s="12"/>
      <c r="AV57" s="12"/>
      <c r="AW57" s="12"/>
      <c r="AX57" s="12" t="s">
        <v>49</v>
      </c>
      <c r="AY57" s="12"/>
      <c r="AZ57" s="12"/>
      <c r="BA57" s="12"/>
      <c r="BB57" s="9"/>
    </row>
    <row r="58" spans="1:54" s="32" customFormat="1" ht="24.75" customHeight="1" x14ac:dyDescent="0.15">
      <c r="A58" s="32">
        <v>54</v>
      </c>
      <c r="B58" s="12" t="str">
        <f t="shared" si="4"/>
        <v>宇城</v>
      </c>
      <c r="C58" s="9" t="str">
        <f>"くまもと心療病院"</f>
        <v>くまもと心療病院</v>
      </c>
      <c r="D58" s="16" t="str">
        <f>"869-0416"</f>
        <v>869-0416</v>
      </c>
      <c r="E58" s="8" t="s">
        <v>137</v>
      </c>
      <c r="F58" s="15">
        <v>964221081</v>
      </c>
      <c r="G58" s="9" t="str">
        <f>"医療法人　再生会"</f>
        <v>医療法人　再生会</v>
      </c>
      <c r="H58" s="18">
        <v>22494</v>
      </c>
      <c r="I58" s="18" t="s">
        <v>112</v>
      </c>
      <c r="J58" s="10">
        <f>K58+L58+M58+N58+O58</f>
        <v>282</v>
      </c>
      <c r="K58" s="11">
        <v>0</v>
      </c>
      <c r="L58" s="11">
        <v>0</v>
      </c>
      <c r="M58" s="11">
        <v>282</v>
      </c>
      <c r="N58" s="11">
        <v>0</v>
      </c>
      <c r="O58" s="11">
        <v>0</v>
      </c>
      <c r="P58" s="12"/>
      <c r="Q58" s="12"/>
      <c r="R58" s="12"/>
      <c r="S58" s="12"/>
      <c r="T58" s="12"/>
      <c r="U58" s="12"/>
      <c r="V58" s="12" t="s">
        <v>220</v>
      </c>
      <c r="W58" s="12" t="s">
        <v>220</v>
      </c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9"/>
    </row>
    <row r="59" spans="1:54" s="32" customFormat="1" ht="54.75" customHeight="1" x14ac:dyDescent="0.15">
      <c r="A59" s="32">
        <v>55</v>
      </c>
      <c r="B59" s="12" t="str">
        <f t="shared" si="4"/>
        <v>宇城</v>
      </c>
      <c r="C59" s="9" t="str">
        <f>"国立病院機構　熊本南病院"</f>
        <v>国立病院機構　熊本南病院</v>
      </c>
      <c r="D59" s="16" t="str">
        <f>"869-0524"</f>
        <v>869-0524</v>
      </c>
      <c r="E59" s="8" t="s">
        <v>138</v>
      </c>
      <c r="F59" s="15">
        <v>964320826</v>
      </c>
      <c r="G59" s="9" t="str">
        <f>"独立行政法人国立病院機構熊本南病院"</f>
        <v>独立行政法人国立病院機構熊本南病院</v>
      </c>
      <c r="H59" s="18">
        <v>17258</v>
      </c>
      <c r="I59" s="18" t="s">
        <v>112</v>
      </c>
      <c r="J59" s="10">
        <f t="shared" ref="J59:J65" si="5">K59+L59+M59+N59+O59</f>
        <v>172</v>
      </c>
      <c r="K59" s="11">
        <v>150</v>
      </c>
      <c r="L59" s="11">
        <v>0</v>
      </c>
      <c r="M59" s="11">
        <v>0</v>
      </c>
      <c r="N59" s="11">
        <v>22</v>
      </c>
      <c r="O59" s="11">
        <v>0</v>
      </c>
      <c r="P59" s="12" t="s">
        <v>220</v>
      </c>
      <c r="Q59" s="12"/>
      <c r="R59" s="12"/>
      <c r="S59" s="12"/>
      <c r="T59" s="12"/>
      <c r="U59" s="12"/>
      <c r="V59" s="12"/>
      <c r="W59" s="12"/>
      <c r="X59" s="12"/>
      <c r="Y59" s="12" t="s">
        <v>49</v>
      </c>
      <c r="Z59" s="13"/>
      <c r="AA59" s="12"/>
      <c r="AB59" s="12"/>
      <c r="AC59" s="12"/>
      <c r="AD59" s="12" t="s">
        <v>49</v>
      </c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 t="s">
        <v>49</v>
      </c>
      <c r="AS59" s="12" t="s">
        <v>49</v>
      </c>
      <c r="AT59" s="12" t="s">
        <v>49</v>
      </c>
      <c r="AU59" s="12"/>
      <c r="AV59" s="12"/>
      <c r="AW59" s="12" t="s">
        <v>49</v>
      </c>
      <c r="AX59" s="12"/>
      <c r="AY59" s="12"/>
      <c r="AZ59" s="12"/>
      <c r="BA59" s="12"/>
      <c r="BB59" s="9" t="s">
        <v>139</v>
      </c>
    </row>
    <row r="60" spans="1:54" s="32" customFormat="1" ht="54.75" customHeight="1" x14ac:dyDescent="0.15">
      <c r="A60" s="32">
        <v>56</v>
      </c>
      <c r="B60" s="12" t="str">
        <f t="shared" si="4"/>
        <v>宇城</v>
      </c>
      <c r="C60" s="9" t="str">
        <f>"済生会みすみ病院"</f>
        <v>済生会みすみ病院</v>
      </c>
      <c r="D60" s="16" t="str">
        <f>"869-3205"</f>
        <v>869-3205</v>
      </c>
      <c r="E60" s="8" t="s">
        <v>140</v>
      </c>
      <c r="F60" s="15">
        <v>964531611</v>
      </c>
      <c r="G60" s="9" t="str">
        <f>"社会福祉法人　恩賜財団済生会"</f>
        <v>社会福祉法人　恩賜財団済生会</v>
      </c>
      <c r="H60" s="18">
        <v>37681</v>
      </c>
      <c r="I60" s="18" t="s">
        <v>112</v>
      </c>
      <c r="J60" s="10">
        <f t="shared" si="5"/>
        <v>128</v>
      </c>
      <c r="K60" s="11">
        <v>128</v>
      </c>
      <c r="L60" s="11">
        <v>0</v>
      </c>
      <c r="M60" s="11">
        <v>0</v>
      </c>
      <c r="N60" s="11">
        <v>0</v>
      </c>
      <c r="O60" s="11">
        <v>0</v>
      </c>
      <c r="P60" s="12" t="s">
        <v>220</v>
      </c>
      <c r="Q60" s="12"/>
      <c r="R60" s="12"/>
      <c r="S60" s="12"/>
      <c r="T60" s="12"/>
      <c r="U60" s="12"/>
      <c r="V60" s="12"/>
      <c r="W60" s="12"/>
      <c r="X60" s="12"/>
      <c r="Y60" s="12" t="s">
        <v>49</v>
      </c>
      <c r="Z60" s="12" t="s">
        <v>49</v>
      </c>
      <c r="AA60" s="12"/>
      <c r="AB60" s="12"/>
      <c r="AC60" s="12" t="s">
        <v>49</v>
      </c>
      <c r="AD60" s="12"/>
      <c r="AE60" s="12" t="s">
        <v>49</v>
      </c>
      <c r="AF60" s="12"/>
      <c r="AG60" s="12"/>
      <c r="AH60" s="12"/>
      <c r="AI60" s="12"/>
      <c r="AJ60" s="12"/>
      <c r="AK60" s="12"/>
      <c r="AL60" s="12"/>
      <c r="AM60" s="12"/>
      <c r="AN60" s="12"/>
      <c r="AO60" s="12" t="s">
        <v>49</v>
      </c>
      <c r="AP60" s="12"/>
      <c r="AQ60" s="12"/>
      <c r="AR60" s="12" t="s">
        <v>49</v>
      </c>
      <c r="AS60" s="12"/>
      <c r="AT60" s="12" t="s">
        <v>49</v>
      </c>
      <c r="AU60" s="12"/>
      <c r="AV60" s="12"/>
      <c r="AW60" s="12"/>
      <c r="AX60" s="12"/>
      <c r="AY60" s="12"/>
      <c r="AZ60" s="12"/>
      <c r="BA60" s="12"/>
      <c r="BB60" s="9" t="s">
        <v>141</v>
      </c>
    </row>
    <row r="61" spans="1:54" s="32" customFormat="1" ht="24.75" customHeight="1" x14ac:dyDescent="0.15">
      <c r="A61" s="32">
        <v>57</v>
      </c>
      <c r="B61" s="12" t="str">
        <f t="shared" si="4"/>
        <v>宇城</v>
      </c>
      <c r="C61" s="9" t="str">
        <f>"くまもと温石病院"</f>
        <v>くまもと温石病院</v>
      </c>
      <c r="D61" s="16" t="str">
        <f>"861-4407"</f>
        <v>861-4407</v>
      </c>
      <c r="E61" s="8" t="s">
        <v>142</v>
      </c>
      <c r="F61" s="15">
        <v>964463000</v>
      </c>
      <c r="G61" s="9" t="str">
        <f>"医療法人　愛生会"</f>
        <v>医療法人　愛生会</v>
      </c>
      <c r="H61" s="18">
        <v>29556</v>
      </c>
      <c r="I61" s="18" t="s">
        <v>112</v>
      </c>
      <c r="J61" s="10">
        <f t="shared" si="5"/>
        <v>103</v>
      </c>
      <c r="K61" s="11">
        <v>51</v>
      </c>
      <c r="L61" s="11">
        <v>52</v>
      </c>
      <c r="M61" s="11">
        <v>0</v>
      </c>
      <c r="N61" s="11">
        <v>0</v>
      </c>
      <c r="O61" s="11">
        <v>0</v>
      </c>
      <c r="P61" s="12" t="s">
        <v>220</v>
      </c>
      <c r="Q61" s="12"/>
      <c r="R61" s="12"/>
      <c r="S61" s="12"/>
      <c r="T61" s="12"/>
      <c r="U61" s="12"/>
      <c r="V61" s="12"/>
      <c r="W61" s="12"/>
      <c r="X61" s="12" t="s">
        <v>49</v>
      </c>
      <c r="Y61" s="12"/>
      <c r="Z61" s="12" t="s">
        <v>49</v>
      </c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 t="s">
        <v>49</v>
      </c>
      <c r="AS61" s="12"/>
      <c r="AT61" s="12"/>
      <c r="AU61" s="12"/>
      <c r="AV61" s="12"/>
      <c r="AW61" s="12"/>
      <c r="AX61" s="12"/>
      <c r="AY61" s="12"/>
      <c r="AZ61" s="12"/>
      <c r="BA61" s="12"/>
      <c r="BB61" s="9" t="s">
        <v>143</v>
      </c>
    </row>
    <row r="62" spans="1:54" s="32" customFormat="1" ht="24.75" customHeight="1" x14ac:dyDescent="0.15">
      <c r="A62" s="32">
        <v>58</v>
      </c>
      <c r="B62" s="12" t="str">
        <f t="shared" si="4"/>
        <v>宇城</v>
      </c>
      <c r="C62" s="9" t="str">
        <f>"松田病院"</f>
        <v>松田病院</v>
      </c>
      <c r="D62" s="16" t="str">
        <f>"869-0542"</f>
        <v>869-0542</v>
      </c>
      <c r="E62" s="8" t="s">
        <v>144</v>
      </c>
      <c r="F62" s="15">
        <v>964320666</v>
      </c>
      <c r="G62" s="9" t="str">
        <f>"医療法人　松生会"</f>
        <v>医療法人　松生会</v>
      </c>
      <c r="H62" s="18">
        <v>23635</v>
      </c>
      <c r="I62" s="18" t="s">
        <v>112</v>
      </c>
      <c r="J62" s="10">
        <f t="shared" si="5"/>
        <v>180</v>
      </c>
      <c r="K62" s="11">
        <v>0</v>
      </c>
      <c r="L62" s="11">
        <v>0</v>
      </c>
      <c r="M62" s="11">
        <v>180</v>
      </c>
      <c r="N62" s="11">
        <v>0</v>
      </c>
      <c r="O62" s="11">
        <v>0</v>
      </c>
      <c r="P62" s="12"/>
      <c r="Q62" s="12"/>
      <c r="R62" s="12"/>
      <c r="S62" s="12"/>
      <c r="T62" s="12"/>
      <c r="U62" s="12"/>
      <c r="V62" s="12" t="s">
        <v>220</v>
      </c>
      <c r="W62" s="12" t="s">
        <v>220</v>
      </c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 t="s">
        <v>220</v>
      </c>
      <c r="AV62" s="12"/>
      <c r="AW62" s="12"/>
      <c r="AX62" s="12"/>
      <c r="AY62" s="12"/>
      <c r="AZ62" s="12"/>
      <c r="BA62" s="12"/>
      <c r="BB62" s="9"/>
    </row>
    <row r="63" spans="1:54" s="32" customFormat="1" ht="24.75" customHeight="1" x14ac:dyDescent="0.15">
      <c r="A63" s="32">
        <v>59</v>
      </c>
      <c r="B63" s="12" t="str">
        <f t="shared" si="4"/>
        <v>宇城</v>
      </c>
      <c r="C63" s="9" t="str">
        <f>"あおば病院"</f>
        <v>あおば病院</v>
      </c>
      <c r="D63" s="16" t="str">
        <f>"869-0513"</f>
        <v>869-0513</v>
      </c>
      <c r="E63" s="8" t="s">
        <v>145</v>
      </c>
      <c r="F63" s="15">
        <v>964327772</v>
      </c>
      <c r="G63" s="9" t="str">
        <f>"医療法人社団　明心会"</f>
        <v>医療法人社団　明心会</v>
      </c>
      <c r="H63" s="18">
        <v>38657</v>
      </c>
      <c r="I63" s="18" t="s">
        <v>112</v>
      </c>
      <c r="J63" s="10">
        <f t="shared" si="5"/>
        <v>178</v>
      </c>
      <c r="K63" s="11">
        <v>0</v>
      </c>
      <c r="L63" s="11">
        <v>33</v>
      </c>
      <c r="M63" s="11">
        <v>145</v>
      </c>
      <c r="N63" s="11">
        <v>0</v>
      </c>
      <c r="O63" s="11">
        <v>0</v>
      </c>
      <c r="P63" s="12"/>
      <c r="Q63" s="12"/>
      <c r="R63" s="12"/>
      <c r="S63" s="12"/>
      <c r="T63" s="12"/>
      <c r="U63" s="12"/>
      <c r="V63" s="12" t="s">
        <v>229</v>
      </c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 t="s">
        <v>220</v>
      </c>
      <c r="AV63" s="12"/>
      <c r="AW63" s="12"/>
      <c r="AX63" s="12"/>
      <c r="AY63" s="12"/>
      <c r="AZ63" s="12"/>
      <c r="BA63" s="12"/>
      <c r="BB63" s="9"/>
    </row>
    <row r="64" spans="1:54" s="32" customFormat="1" ht="24.75" customHeight="1" x14ac:dyDescent="0.15">
      <c r="A64" s="32">
        <v>60</v>
      </c>
      <c r="B64" s="12" t="str">
        <f t="shared" si="4"/>
        <v>宇城</v>
      </c>
      <c r="C64" s="9" t="str">
        <f>"間部病院"</f>
        <v>間部病院</v>
      </c>
      <c r="D64" s="16" t="str">
        <f>"861-4722"</f>
        <v>861-4722</v>
      </c>
      <c r="E64" s="8" t="s">
        <v>146</v>
      </c>
      <c r="F64" s="15">
        <v>964470032</v>
      </c>
      <c r="G64" s="9" t="str">
        <f>"医療法人　美里みどり会"</f>
        <v>医療法人　美里みどり会</v>
      </c>
      <c r="H64" s="18">
        <v>39173</v>
      </c>
      <c r="I64" s="18" t="s">
        <v>112</v>
      </c>
      <c r="J64" s="10">
        <f t="shared" si="5"/>
        <v>35</v>
      </c>
      <c r="K64" s="11">
        <v>35</v>
      </c>
      <c r="L64" s="11">
        <v>0</v>
      </c>
      <c r="M64" s="11">
        <v>0</v>
      </c>
      <c r="N64" s="11">
        <v>0</v>
      </c>
      <c r="O64" s="11">
        <v>0</v>
      </c>
      <c r="P64" s="12" t="s">
        <v>220</v>
      </c>
      <c r="Q64" s="12"/>
      <c r="R64" s="12"/>
      <c r="S64" s="12"/>
      <c r="T64" s="12"/>
      <c r="U64" s="12" t="s">
        <v>49</v>
      </c>
      <c r="V64" s="12"/>
      <c r="W64" s="12"/>
      <c r="X64" s="12"/>
      <c r="Y64" s="12" t="s">
        <v>49</v>
      </c>
      <c r="Z64" s="12" t="s">
        <v>49</v>
      </c>
      <c r="AA64" s="12"/>
      <c r="AB64" s="12"/>
      <c r="AC64" s="12"/>
      <c r="AD64" s="12"/>
      <c r="AE64" s="12"/>
      <c r="AF64" s="12"/>
      <c r="AG64" s="12"/>
      <c r="AH64" s="12"/>
      <c r="AI64" s="12" t="s">
        <v>49</v>
      </c>
      <c r="AJ64" s="12"/>
      <c r="AK64" s="12" t="s">
        <v>49</v>
      </c>
      <c r="AL64" s="12"/>
      <c r="AM64" s="12"/>
      <c r="AN64" s="12" t="s">
        <v>49</v>
      </c>
      <c r="AO64" s="12"/>
      <c r="AP64" s="12"/>
      <c r="AQ64" s="12"/>
      <c r="AR64" s="12" t="s">
        <v>49</v>
      </c>
      <c r="AS64" s="12"/>
      <c r="AT64" s="12"/>
      <c r="AU64" s="12"/>
      <c r="AV64" s="12"/>
      <c r="AW64" s="12"/>
      <c r="AX64" s="12"/>
      <c r="AY64" s="12"/>
      <c r="AZ64" s="12"/>
      <c r="BA64" s="12"/>
      <c r="BB64" s="9" t="s">
        <v>147</v>
      </c>
    </row>
    <row r="65" spans="1:54" s="32" customFormat="1" ht="51" customHeight="1" x14ac:dyDescent="0.15">
      <c r="A65" s="32">
        <v>61</v>
      </c>
      <c r="B65" s="12" t="str">
        <f t="shared" si="4"/>
        <v>宇城</v>
      </c>
      <c r="C65" s="9" t="str">
        <f>"宇城総合病院"</f>
        <v>宇城総合病院</v>
      </c>
      <c r="D65" s="16" t="str">
        <f>"869-0532"</f>
        <v>869-0532</v>
      </c>
      <c r="E65" s="8" t="s">
        <v>148</v>
      </c>
      <c r="F65" s="15">
        <v>964323111</v>
      </c>
      <c r="G65" s="9" t="str">
        <f>"社会医療法人黎明会"</f>
        <v>社会医療法人黎明会</v>
      </c>
      <c r="H65" s="18">
        <v>41181</v>
      </c>
      <c r="I65" s="18" t="s">
        <v>112</v>
      </c>
      <c r="J65" s="10">
        <f t="shared" si="5"/>
        <v>204</v>
      </c>
      <c r="K65" s="11">
        <v>200</v>
      </c>
      <c r="L65" s="11">
        <v>0</v>
      </c>
      <c r="M65" s="11">
        <v>0</v>
      </c>
      <c r="N65" s="11">
        <v>0</v>
      </c>
      <c r="O65" s="11">
        <v>4</v>
      </c>
      <c r="P65" s="12" t="s">
        <v>229</v>
      </c>
      <c r="Q65" s="12"/>
      <c r="R65" s="12"/>
      <c r="S65" s="12"/>
      <c r="T65" s="12"/>
      <c r="U65" s="12"/>
      <c r="V65" s="12"/>
      <c r="W65" s="12"/>
      <c r="X65" s="12"/>
      <c r="Y65" s="12" t="s">
        <v>49</v>
      </c>
      <c r="Z65" s="12" t="s">
        <v>49</v>
      </c>
      <c r="AA65" s="12"/>
      <c r="AB65" s="12"/>
      <c r="AC65" s="12"/>
      <c r="AD65" s="12" t="s">
        <v>49</v>
      </c>
      <c r="AE65" s="12" t="s">
        <v>49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 t="s">
        <v>49</v>
      </c>
      <c r="AP65" s="12"/>
      <c r="AQ65" s="12"/>
      <c r="AR65" s="12" t="s">
        <v>49</v>
      </c>
      <c r="AS65" s="12" t="s">
        <v>49</v>
      </c>
      <c r="AT65" s="12" t="s">
        <v>49</v>
      </c>
      <c r="AU65" s="12"/>
      <c r="AV65" s="12"/>
      <c r="AW65" s="12" t="s">
        <v>49</v>
      </c>
      <c r="AX65" s="12"/>
      <c r="AY65" s="12"/>
      <c r="AZ65" s="12"/>
      <c r="BA65" s="12"/>
      <c r="BB65" s="9" t="s">
        <v>149</v>
      </c>
    </row>
    <row r="66" spans="1:54" s="32" customFormat="1" ht="28.5" customHeight="1" x14ac:dyDescent="0.15">
      <c r="A66" s="32">
        <v>62</v>
      </c>
      <c r="B66" s="12" t="str">
        <f t="shared" si="4"/>
        <v>宇城</v>
      </c>
      <c r="C66" s="9" t="str">
        <f>"桜十字熊本宇城病院"</f>
        <v>桜十字熊本宇城病院</v>
      </c>
      <c r="D66" s="16" t="str">
        <f>"869-0631"</f>
        <v>869-0631</v>
      </c>
      <c r="E66" s="8" t="s">
        <v>150</v>
      </c>
      <c r="F66" s="15">
        <v>964431155</v>
      </c>
      <c r="G66" s="9" t="str">
        <f>"医療法人　熊本桜十字"</f>
        <v>医療法人　熊本桜十字</v>
      </c>
      <c r="H66" s="18" t="s">
        <v>151</v>
      </c>
      <c r="I66" s="18" t="s">
        <v>112</v>
      </c>
      <c r="J66" s="10">
        <f>K66+L66+M66+N66+O66</f>
        <v>257</v>
      </c>
      <c r="K66" s="11">
        <v>99</v>
      </c>
      <c r="L66" s="11">
        <v>158</v>
      </c>
      <c r="M66" s="11">
        <v>0</v>
      </c>
      <c r="N66" s="11">
        <v>0</v>
      </c>
      <c r="O66" s="11">
        <v>0</v>
      </c>
      <c r="P66" s="12" t="s">
        <v>220</v>
      </c>
      <c r="Q66" s="12"/>
      <c r="R66" s="12"/>
      <c r="S66" s="12"/>
      <c r="T66" s="12"/>
      <c r="U66" s="12"/>
      <c r="V66" s="12"/>
      <c r="W66" s="12"/>
      <c r="X66" s="12"/>
      <c r="Y66" s="12"/>
      <c r="Z66" s="13" t="s">
        <v>221</v>
      </c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 t="s">
        <v>49</v>
      </c>
      <c r="AS66" s="12" t="s">
        <v>49</v>
      </c>
      <c r="AT66" s="12"/>
      <c r="AU66" s="12"/>
      <c r="AV66" s="12"/>
      <c r="AW66" s="12"/>
      <c r="AX66" s="12"/>
      <c r="AY66" s="12"/>
      <c r="AZ66" s="12"/>
      <c r="BA66" s="12"/>
      <c r="BB66" s="9" t="s">
        <v>152</v>
      </c>
    </row>
    <row r="67" spans="1:54" s="32" customFormat="1" ht="40.5" customHeight="1" x14ac:dyDescent="0.15">
      <c r="A67" s="32">
        <v>63</v>
      </c>
      <c r="B67" s="12" t="str">
        <f t="shared" ref="B67:B77" si="6">"八代"</f>
        <v>八代</v>
      </c>
      <c r="C67" s="9" t="str">
        <f>"独立行政法人労働者健康安全機構　熊本労災病院"</f>
        <v>独立行政法人労働者健康安全機構　熊本労災病院</v>
      </c>
      <c r="D67" s="16" t="str">
        <f>"866-0826"</f>
        <v>866-0826</v>
      </c>
      <c r="E67" s="8" t="s">
        <v>153</v>
      </c>
      <c r="F67" s="15">
        <v>965334151</v>
      </c>
      <c r="G67" s="9" t="str">
        <f>"独立行政法人労働者健康安全機構"</f>
        <v>独立行政法人労働者健康安全機構</v>
      </c>
      <c r="H67" s="18">
        <v>21002</v>
      </c>
      <c r="I67" s="18" t="s">
        <v>112</v>
      </c>
      <c r="J67" s="10">
        <f>K67+L67+M67+N67+O67</f>
        <v>410</v>
      </c>
      <c r="K67" s="11">
        <v>410</v>
      </c>
      <c r="L67" s="11">
        <v>0</v>
      </c>
      <c r="M67" s="11">
        <v>0</v>
      </c>
      <c r="N67" s="11">
        <v>0</v>
      </c>
      <c r="O67" s="11">
        <v>0</v>
      </c>
      <c r="P67" s="12" t="s">
        <v>220</v>
      </c>
      <c r="Q67" s="12"/>
      <c r="R67" s="12"/>
      <c r="S67" s="12"/>
      <c r="T67" s="12"/>
      <c r="U67" s="12" t="s">
        <v>49</v>
      </c>
      <c r="V67" s="12" t="s">
        <v>229</v>
      </c>
      <c r="W67" s="12"/>
      <c r="X67" s="12"/>
      <c r="Y67" s="12" t="s">
        <v>49</v>
      </c>
      <c r="Z67" s="12" t="s">
        <v>49</v>
      </c>
      <c r="AA67" s="12" t="s">
        <v>49</v>
      </c>
      <c r="AB67" s="12"/>
      <c r="AC67" s="12" t="s">
        <v>49</v>
      </c>
      <c r="AD67" s="12" t="s">
        <v>49</v>
      </c>
      <c r="AE67" s="12" t="s">
        <v>49</v>
      </c>
      <c r="AF67" s="12" t="s">
        <v>49</v>
      </c>
      <c r="AG67" s="12" t="s">
        <v>49</v>
      </c>
      <c r="AH67" s="12"/>
      <c r="AI67" s="12"/>
      <c r="AJ67" s="12" t="s">
        <v>49</v>
      </c>
      <c r="AK67" s="12" t="s">
        <v>49</v>
      </c>
      <c r="AL67" s="12"/>
      <c r="AM67" s="12"/>
      <c r="AN67" s="12" t="s">
        <v>49</v>
      </c>
      <c r="AO67" s="12" t="s">
        <v>49</v>
      </c>
      <c r="AP67" s="12"/>
      <c r="AQ67" s="12"/>
      <c r="AR67" s="12" t="s">
        <v>49</v>
      </c>
      <c r="AS67" s="12" t="s">
        <v>49</v>
      </c>
      <c r="AT67" s="12" t="s">
        <v>49</v>
      </c>
      <c r="AU67" s="12"/>
      <c r="AV67" s="12"/>
      <c r="AW67" s="12"/>
      <c r="AX67" s="12"/>
      <c r="AY67" s="12"/>
      <c r="AZ67" s="12"/>
      <c r="BA67" s="12"/>
      <c r="BB67" s="9" t="s">
        <v>154</v>
      </c>
    </row>
    <row r="68" spans="1:54" s="32" customFormat="1" ht="24.75" customHeight="1" x14ac:dyDescent="0.15">
      <c r="A68" s="32">
        <v>64</v>
      </c>
      <c r="B68" s="12" t="str">
        <f t="shared" si="6"/>
        <v>八代</v>
      </c>
      <c r="C68" s="9" t="str">
        <f>"高田病院"</f>
        <v>高田病院</v>
      </c>
      <c r="D68" s="16" t="str">
        <f>"866-0065"</f>
        <v>866-0065</v>
      </c>
      <c r="E68" s="8" t="s">
        <v>155</v>
      </c>
      <c r="F68" s="15">
        <v>965331191</v>
      </c>
      <c r="G68" s="9" t="str">
        <f>"医療法人尚仁会"</f>
        <v>医療法人尚仁会</v>
      </c>
      <c r="H68" s="18">
        <v>19952</v>
      </c>
      <c r="I68" s="18" t="s">
        <v>112</v>
      </c>
      <c r="J68" s="10">
        <f>K68+L68+M68+N68+O68</f>
        <v>290</v>
      </c>
      <c r="K68" s="11">
        <v>0</v>
      </c>
      <c r="L68" s="11">
        <v>54</v>
      </c>
      <c r="M68" s="11">
        <v>236</v>
      </c>
      <c r="N68" s="11">
        <v>0</v>
      </c>
      <c r="O68" s="11">
        <v>0</v>
      </c>
      <c r="P68" s="12" t="s">
        <v>229</v>
      </c>
      <c r="Q68" s="12"/>
      <c r="R68" s="12"/>
      <c r="S68" s="12"/>
      <c r="T68" s="12"/>
      <c r="U68" s="12"/>
      <c r="V68" s="12" t="s">
        <v>220</v>
      </c>
      <c r="W68" s="12" t="s">
        <v>220</v>
      </c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9"/>
    </row>
    <row r="69" spans="1:54" s="32" customFormat="1" ht="24.75" customHeight="1" x14ac:dyDescent="0.15">
      <c r="A69" s="32">
        <v>65</v>
      </c>
      <c r="B69" s="12" t="str">
        <f t="shared" si="6"/>
        <v>八代</v>
      </c>
      <c r="C69" s="9" t="str">
        <f>"平成病院"</f>
        <v>平成病院</v>
      </c>
      <c r="D69" s="16" t="str">
        <f>"866-0895"</f>
        <v>866-0895</v>
      </c>
      <c r="E69" s="8" t="s">
        <v>156</v>
      </c>
      <c r="F69" s="15">
        <v>965328171</v>
      </c>
      <c r="G69" s="9" t="str">
        <f>"医療法人社団　平成会"</f>
        <v>医療法人社団　平成会</v>
      </c>
      <c r="H69" s="18">
        <v>23408</v>
      </c>
      <c r="I69" s="18" t="s">
        <v>112</v>
      </c>
      <c r="J69" s="10">
        <f>K69+L69+M69+N69+O69</f>
        <v>154</v>
      </c>
      <c r="K69" s="11">
        <v>0</v>
      </c>
      <c r="L69" s="11">
        <v>13</v>
      </c>
      <c r="M69" s="11">
        <v>141</v>
      </c>
      <c r="N69" s="11">
        <v>0</v>
      </c>
      <c r="O69" s="11">
        <v>0</v>
      </c>
      <c r="P69" s="12" t="s">
        <v>115</v>
      </c>
      <c r="Q69" s="12"/>
      <c r="R69" s="12"/>
      <c r="S69" s="12"/>
      <c r="T69" s="12"/>
      <c r="U69" s="12"/>
      <c r="V69" s="12" t="s">
        <v>115</v>
      </c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 t="s">
        <v>49</v>
      </c>
      <c r="AT69" s="12"/>
      <c r="AU69" s="12" t="s">
        <v>232</v>
      </c>
      <c r="AV69" s="12"/>
      <c r="AW69" s="12"/>
      <c r="AX69" s="12"/>
      <c r="AY69" s="12"/>
      <c r="AZ69" s="12"/>
      <c r="BA69" s="12"/>
      <c r="BB69" s="9"/>
    </row>
    <row r="70" spans="1:54" s="32" customFormat="1" ht="24.75" customHeight="1" x14ac:dyDescent="0.15">
      <c r="A70" s="32">
        <v>66</v>
      </c>
      <c r="B70" s="12" t="str">
        <f t="shared" si="6"/>
        <v>八代</v>
      </c>
      <c r="C70" s="9" t="str">
        <f>"八代北部地域医療センター"</f>
        <v>八代北部地域医療センター</v>
      </c>
      <c r="D70" s="16" t="str">
        <f>"869-4601"</f>
        <v>869-4601</v>
      </c>
      <c r="E70" s="8" t="s">
        <v>157</v>
      </c>
      <c r="F70" s="15">
        <v>965535111</v>
      </c>
      <c r="G70" s="9" t="str">
        <f>"一般社団法人八代郡医師会"</f>
        <v>一般社団法人八代郡医師会</v>
      </c>
      <c r="H70" s="18">
        <v>36612</v>
      </c>
      <c r="I70" s="18" t="s">
        <v>112</v>
      </c>
      <c r="J70" s="10">
        <v>105</v>
      </c>
      <c r="K70" s="11">
        <v>75</v>
      </c>
      <c r="L70" s="11">
        <v>30</v>
      </c>
      <c r="M70" s="11">
        <v>0</v>
      </c>
      <c r="N70" s="11">
        <v>0</v>
      </c>
      <c r="O70" s="11">
        <v>0</v>
      </c>
      <c r="P70" s="12" t="s">
        <v>232</v>
      </c>
      <c r="Q70" s="12" t="s">
        <v>49</v>
      </c>
      <c r="R70" s="12" t="s">
        <v>49</v>
      </c>
      <c r="S70" s="12"/>
      <c r="T70" s="12" t="s">
        <v>49</v>
      </c>
      <c r="U70" s="12" t="s">
        <v>49</v>
      </c>
      <c r="V70" s="12"/>
      <c r="W70" s="12"/>
      <c r="X70" s="12" t="s">
        <v>49</v>
      </c>
      <c r="Y70" s="12" t="s">
        <v>49</v>
      </c>
      <c r="Z70" s="12" t="s">
        <v>49</v>
      </c>
      <c r="AA70" s="12"/>
      <c r="AB70" s="12"/>
      <c r="AC70" s="12"/>
      <c r="AD70" s="12"/>
      <c r="AE70" s="12"/>
      <c r="AF70" s="12" t="s">
        <v>49</v>
      </c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 t="s">
        <v>49</v>
      </c>
      <c r="AR70" s="12" t="s">
        <v>49</v>
      </c>
      <c r="AS70" s="12"/>
      <c r="AT70" s="12"/>
      <c r="AU70" s="12"/>
      <c r="AV70" s="12"/>
      <c r="AW70" s="12"/>
      <c r="AX70" s="12"/>
      <c r="AY70" s="12"/>
      <c r="AZ70" s="12"/>
      <c r="BA70" s="12"/>
      <c r="BB70" s="9"/>
    </row>
    <row r="71" spans="1:54" s="32" customFormat="1" ht="24.75" customHeight="1" x14ac:dyDescent="0.15">
      <c r="A71" s="32">
        <v>67</v>
      </c>
      <c r="B71" s="12" t="str">
        <f t="shared" si="6"/>
        <v>八代</v>
      </c>
      <c r="C71" s="9" t="str">
        <f>"八代敬仁病院"</f>
        <v>八代敬仁病院</v>
      </c>
      <c r="D71" s="16" t="str">
        <f>"866-0893"</f>
        <v>866-0893</v>
      </c>
      <c r="E71" s="8" t="s">
        <v>158</v>
      </c>
      <c r="F71" s="15">
        <v>965347911</v>
      </c>
      <c r="G71" s="9" t="str">
        <f>"医療法人　敬仁会"</f>
        <v>医療法人　敬仁会</v>
      </c>
      <c r="H71" s="18">
        <v>27835</v>
      </c>
      <c r="I71" s="18" t="s">
        <v>112</v>
      </c>
      <c r="J71" s="10">
        <f t="shared" ref="J71:J95" si="7">K71+L71+M71+N71+O71</f>
        <v>171</v>
      </c>
      <c r="K71" s="11">
        <v>42</v>
      </c>
      <c r="L71" s="11">
        <v>129</v>
      </c>
      <c r="M71" s="11">
        <v>0</v>
      </c>
      <c r="N71" s="11">
        <v>0</v>
      </c>
      <c r="O71" s="11">
        <v>0</v>
      </c>
      <c r="P71" s="12" t="s">
        <v>232</v>
      </c>
      <c r="Q71" s="12" t="s">
        <v>49</v>
      </c>
      <c r="R71" s="12" t="s">
        <v>49</v>
      </c>
      <c r="S71" s="12"/>
      <c r="T71" s="12" t="s">
        <v>49</v>
      </c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 t="s">
        <v>49</v>
      </c>
      <c r="AS71" s="12" t="s">
        <v>49</v>
      </c>
      <c r="AT71" s="12"/>
      <c r="AU71" s="12"/>
      <c r="AV71" s="12"/>
      <c r="AW71" s="12"/>
      <c r="AX71" s="12"/>
      <c r="AY71" s="12"/>
      <c r="AZ71" s="12"/>
      <c r="BA71" s="12"/>
      <c r="BB71" s="9"/>
    </row>
    <row r="72" spans="1:54" s="32" customFormat="1" ht="24.75" customHeight="1" x14ac:dyDescent="0.15">
      <c r="A72" s="32">
        <v>68</v>
      </c>
      <c r="B72" s="12" t="str">
        <f t="shared" si="6"/>
        <v>八代</v>
      </c>
      <c r="C72" s="9" t="str">
        <f>"八代更生病院"</f>
        <v>八代更生病院</v>
      </c>
      <c r="D72" s="16" t="str">
        <f>"866-0043"</f>
        <v>866-0043</v>
      </c>
      <c r="E72" s="8" t="s">
        <v>159</v>
      </c>
      <c r="F72" s="15">
        <v>965334205</v>
      </c>
      <c r="G72" s="9" t="str">
        <f>"医療法人山田会"</f>
        <v>医療法人山田会</v>
      </c>
      <c r="H72" s="18">
        <v>23774</v>
      </c>
      <c r="I72" s="18" t="s">
        <v>112</v>
      </c>
      <c r="J72" s="10">
        <f t="shared" si="7"/>
        <v>249</v>
      </c>
      <c r="K72" s="11">
        <v>0</v>
      </c>
      <c r="L72" s="11">
        <v>0</v>
      </c>
      <c r="M72" s="11">
        <v>249</v>
      </c>
      <c r="N72" s="11">
        <v>0</v>
      </c>
      <c r="O72" s="11">
        <v>0</v>
      </c>
      <c r="P72" s="12" t="s">
        <v>232</v>
      </c>
      <c r="Q72" s="12"/>
      <c r="R72" s="12"/>
      <c r="S72" s="12"/>
      <c r="T72" s="12"/>
      <c r="U72" s="12"/>
      <c r="V72" s="12" t="s">
        <v>232</v>
      </c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 t="s">
        <v>232</v>
      </c>
      <c r="AV72" s="12"/>
      <c r="AW72" s="12"/>
      <c r="AX72" s="12"/>
      <c r="AY72" s="12"/>
      <c r="AZ72" s="12"/>
      <c r="BA72" s="12"/>
      <c r="BB72" s="9"/>
    </row>
    <row r="73" spans="1:54" s="32" customFormat="1" ht="24.75" customHeight="1" x14ac:dyDescent="0.15">
      <c r="A73" s="32">
        <v>69</v>
      </c>
      <c r="B73" s="12" t="str">
        <f t="shared" si="6"/>
        <v>八代</v>
      </c>
      <c r="C73" s="9" t="str">
        <f>"八代市医師会立病院"</f>
        <v>八代市医師会立病院</v>
      </c>
      <c r="D73" s="16" t="str">
        <f>"866-0074"</f>
        <v>866-0074</v>
      </c>
      <c r="E73" s="8" t="s">
        <v>160</v>
      </c>
      <c r="F73" s="15">
        <v>965311700</v>
      </c>
      <c r="G73" s="9" t="str">
        <f>"一般社団法人八代市医師会"</f>
        <v>一般社団法人八代市医師会</v>
      </c>
      <c r="H73" s="18">
        <v>36272</v>
      </c>
      <c r="I73" s="18" t="s">
        <v>112</v>
      </c>
      <c r="J73" s="10">
        <f t="shared" si="7"/>
        <v>100</v>
      </c>
      <c r="K73" s="11">
        <v>0</v>
      </c>
      <c r="L73" s="11">
        <v>100</v>
      </c>
      <c r="M73" s="11">
        <v>0</v>
      </c>
      <c r="N73" s="11">
        <v>0</v>
      </c>
      <c r="O73" s="11">
        <v>0</v>
      </c>
      <c r="P73" s="12" t="s">
        <v>232</v>
      </c>
      <c r="Q73" s="12" t="s">
        <v>49</v>
      </c>
      <c r="R73" s="12"/>
      <c r="S73" s="12"/>
      <c r="T73" s="12" t="s">
        <v>49</v>
      </c>
      <c r="U73" s="12" t="s">
        <v>49</v>
      </c>
      <c r="V73" s="12"/>
      <c r="W73" s="12"/>
      <c r="X73" s="12" t="s">
        <v>49</v>
      </c>
      <c r="Y73" s="12" t="s">
        <v>49</v>
      </c>
      <c r="Z73" s="12" t="s">
        <v>49</v>
      </c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 t="s">
        <v>49</v>
      </c>
      <c r="AS73" s="12"/>
      <c r="AT73" s="12"/>
      <c r="AU73" s="12"/>
      <c r="AV73" s="12"/>
      <c r="AW73" s="12"/>
      <c r="AX73" s="12"/>
      <c r="AY73" s="12"/>
      <c r="AZ73" s="12"/>
      <c r="BA73" s="12"/>
      <c r="BB73" s="9"/>
    </row>
    <row r="74" spans="1:54" s="32" customFormat="1" ht="32.25" customHeight="1" x14ac:dyDescent="0.15">
      <c r="A74" s="32">
        <v>70</v>
      </c>
      <c r="B74" s="12" t="str">
        <f t="shared" si="6"/>
        <v>八代</v>
      </c>
      <c r="C74" s="9" t="str">
        <f>"八代病院シーサイドこころケアステーション"</f>
        <v>八代病院シーサイドこころケアステーション</v>
      </c>
      <c r="D74" s="16" t="str">
        <f>"866-0024"</f>
        <v>866-0024</v>
      </c>
      <c r="E74" s="8" t="s">
        <v>161</v>
      </c>
      <c r="F74" s="15">
        <v>965370317</v>
      </c>
      <c r="G74" s="9" t="str">
        <f>"医療法人カジオ会"</f>
        <v>医療法人カジオ会</v>
      </c>
      <c r="H74" s="18">
        <v>21855</v>
      </c>
      <c r="I74" s="18" t="s">
        <v>112</v>
      </c>
      <c r="J74" s="10">
        <f t="shared" si="7"/>
        <v>149</v>
      </c>
      <c r="K74" s="11">
        <v>0</v>
      </c>
      <c r="L74" s="11">
        <v>0</v>
      </c>
      <c r="M74" s="11">
        <v>149</v>
      </c>
      <c r="N74" s="11">
        <v>0</v>
      </c>
      <c r="O74" s="11">
        <v>0</v>
      </c>
      <c r="P74" s="12"/>
      <c r="Q74" s="12"/>
      <c r="R74" s="12"/>
      <c r="S74" s="12"/>
      <c r="T74" s="12"/>
      <c r="U74" s="12"/>
      <c r="V74" s="12" t="s">
        <v>232</v>
      </c>
      <c r="W74" s="12" t="s">
        <v>232</v>
      </c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9"/>
    </row>
    <row r="75" spans="1:54" s="32" customFormat="1" ht="108" customHeight="1" x14ac:dyDescent="0.15">
      <c r="A75" s="32">
        <v>71</v>
      </c>
      <c r="B75" s="12" t="str">
        <f t="shared" si="6"/>
        <v>八代</v>
      </c>
      <c r="C75" s="9" t="str">
        <f>"独立行政法人地域医療機能推進機構熊本総合病院"</f>
        <v>独立行政法人地域医療機能推進機構熊本総合病院</v>
      </c>
      <c r="D75" s="16" t="str">
        <f>"866-0856"</f>
        <v>866-0856</v>
      </c>
      <c r="E75" s="8" t="s">
        <v>162</v>
      </c>
      <c r="F75" s="15">
        <v>965327111</v>
      </c>
      <c r="G75" s="9" t="str">
        <f>"独立行政法人　地域医療機能推進機構"</f>
        <v>独立行政法人　地域医療機能推進機構</v>
      </c>
      <c r="H75" s="18">
        <v>41316</v>
      </c>
      <c r="I75" s="18" t="s">
        <v>112</v>
      </c>
      <c r="J75" s="10">
        <f t="shared" si="7"/>
        <v>420</v>
      </c>
      <c r="K75" s="11">
        <v>416</v>
      </c>
      <c r="L75" s="11">
        <v>0</v>
      </c>
      <c r="M75" s="11">
        <v>0</v>
      </c>
      <c r="N75" s="11">
        <v>0</v>
      </c>
      <c r="O75" s="11">
        <v>4</v>
      </c>
      <c r="P75" s="12" t="s">
        <v>232</v>
      </c>
      <c r="Q75" s="12"/>
      <c r="R75" s="12"/>
      <c r="S75" s="12"/>
      <c r="T75" s="12"/>
      <c r="U75" s="12"/>
      <c r="V75" s="12"/>
      <c r="W75" s="12"/>
      <c r="X75" s="12" t="s">
        <v>49</v>
      </c>
      <c r="Y75" s="12" t="s">
        <v>49</v>
      </c>
      <c r="Z75" s="12" t="s">
        <v>49</v>
      </c>
      <c r="AA75" s="12"/>
      <c r="AB75" s="12"/>
      <c r="AC75" s="12" t="s">
        <v>49</v>
      </c>
      <c r="AD75" s="12" t="s">
        <v>49</v>
      </c>
      <c r="AE75" s="12" t="s">
        <v>49</v>
      </c>
      <c r="AF75" s="12"/>
      <c r="AG75" s="12"/>
      <c r="AH75" s="12"/>
      <c r="AI75" s="12" t="s">
        <v>49</v>
      </c>
      <c r="AJ75" s="12" t="s">
        <v>49</v>
      </c>
      <c r="AK75" s="12" t="s">
        <v>49</v>
      </c>
      <c r="AL75" s="12"/>
      <c r="AM75" s="12"/>
      <c r="AN75" s="12" t="s">
        <v>49</v>
      </c>
      <c r="AO75" s="12" t="s">
        <v>49</v>
      </c>
      <c r="AP75" s="12"/>
      <c r="AQ75" s="12"/>
      <c r="AR75" s="12" t="s">
        <v>49</v>
      </c>
      <c r="AS75" s="12" t="s">
        <v>49</v>
      </c>
      <c r="AT75" s="12" t="s">
        <v>49</v>
      </c>
      <c r="AU75" s="12"/>
      <c r="AV75" s="12" t="s">
        <v>49</v>
      </c>
      <c r="AW75" s="12"/>
      <c r="AX75" s="12"/>
      <c r="AY75" s="12"/>
      <c r="AZ75" s="12"/>
      <c r="BA75" s="12"/>
      <c r="BB75" s="9" t="s">
        <v>163</v>
      </c>
    </row>
    <row r="76" spans="1:54" s="32" customFormat="1" ht="24.75" customHeight="1" x14ac:dyDescent="0.15">
      <c r="A76" s="32">
        <v>72</v>
      </c>
      <c r="B76" s="12" t="str">
        <f t="shared" si="6"/>
        <v>八代</v>
      </c>
      <c r="C76" s="9" t="str">
        <f>"桜十字八代リハビリテーション病院"</f>
        <v>桜十字八代リハビリテーション病院</v>
      </c>
      <c r="D76" s="16" t="str">
        <f>"866-0861"</f>
        <v>866-0861</v>
      </c>
      <c r="E76" s="8" t="s">
        <v>164</v>
      </c>
      <c r="F76" s="15">
        <v>965327158</v>
      </c>
      <c r="G76" s="9" t="str">
        <f>"医療法人熊本桜十字"</f>
        <v>医療法人熊本桜十字</v>
      </c>
      <c r="H76" s="18">
        <v>43952</v>
      </c>
      <c r="I76" s="18" t="s">
        <v>112</v>
      </c>
      <c r="J76" s="10">
        <f t="shared" si="7"/>
        <v>199</v>
      </c>
      <c r="K76" s="11">
        <v>59</v>
      </c>
      <c r="L76" s="11">
        <v>140</v>
      </c>
      <c r="M76" s="11">
        <v>0</v>
      </c>
      <c r="N76" s="11">
        <v>0</v>
      </c>
      <c r="O76" s="11">
        <v>0</v>
      </c>
      <c r="P76" s="12" t="s">
        <v>232</v>
      </c>
      <c r="Q76" s="12"/>
      <c r="R76" s="12"/>
      <c r="S76" s="12"/>
      <c r="T76" s="12"/>
      <c r="U76" s="12"/>
      <c r="V76" s="12"/>
      <c r="W76" s="12"/>
      <c r="X76" s="12" t="s">
        <v>49</v>
      </c>
      <c r="Y76" s="12" t="s">
        <v>49</v>
      </c>
      <c r="Z76" s="12" t="s">
        <v>49</v>
      </c>
      <c r="AA76" s="12"/>
      <c r="AB76" s="12"/>
      <c r="AC76" s="12" t="s">
        <v>49</v>
      </c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 t="s">
        <v>49</v>
      </c>
      <c r="AS76" s="12"/>
      <c r="AT76" s="12"/>
      <c r="AU76" s="12"/>
      <c r="AV76" s="12"/>
      <c r="AW76" s="12"/>
      <c r="AX76" s="12"/>
      <c r="AY76" s="12"/>
      <c r="AZ76" s="12"/>
      <c r="BA76" s="12"/>
      <c r="BB76" s="9" t="s">
        <v>165</v>
      </c>
    </row>
    <row r="77" spans="1:54" s="32" customFormat="1" ht="24.75" customHeight="1" x14ac:dyDescent="0.15">
      <c r="A77" s="32">
        <v>73</v>
      </c>
      <c r="B77" s="12" t="str">
        <f t="shared" si="6"/>
        <v>八代</v>
      </c>
      <c r="C77" s="9" t="str">
        <f>"桜十字八代病院"</f>
        <v>桜十字八代病院</v>
      </c>
      <c r="D77" s="16" t="str">
        <f>"866-0856"</f>
        <v>866-0856</v>
      </c>
      <c r="E77" s="8" t="s">
        <v>166</v>
      </c>
      <c r="F77" s="15">
        <v>965327158</v>
      </c>
      <c r="G77" s="9" t="str">
        <f>"医療法人熊本桜十字"</f>
        <v>医療法人熊本桜十字</v>
      </c>
      <c r="H77" s="18">
        <v>44166</v>
      </c>
      <c r="I77" s="18" t="s">
        <v>112</v>
      </c>
      <c r="J77" s="10">
        <f t="shared" si="7"/>
        <v>74</v>
      </c>
      <c r="K77" s="11">
        <v>20</v>
      </c>
      <c r="L77" s="11">
        <v>54</v>
      </c>
      <c r="M77" s="11">
        <v>0</v>
      </c>
      <c r="N77" s="11">
        <v>0</v>
      </c>
      <c r="O77" s="11">
        <v>0</v>
      </c>
      <c r="P77" s="12" t="s">
        <v>232</v>
      </c>
      <c r="Q77" s="12"/>
      <c r="R77" s="12"/>
      <c r="S77" s="12"/>
      <c r="T77" s="12"/>
      <c r="U77" s="12"/>
      <c r="V77" s="12"/>
      <c r="W77" s="12"/>
      <c r="X77" s="12"/>
      <c r="Y77" s="12" t="s">
        <v>49</v>
      </c>
      <c r="Z77" s="12" t="s">
        <v>49</v>
      </c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 t="s">
        <v>49</v>
      </c>
      <c r="AS77" s="12"/>
      <c r="AT77" s="12"/>
      <c r="AU77" s="12"/>
      <c r="AV77" s="12"/>
      <c r="AW77" s="12"/>
      <c r="AX77" s="12"/>
      <c r="AY77" s="12"/>
      <c r="AZ77" s="12"/>
      <c r="BA77" s="12"/>
      <c r="BB77" s="9" t="s">
        <v>167</v>
      </c>
    </row>
    <row r="78" spans="1:54" s="32" customFormat="1" ht="34.5" customHeight="1" x14ac:dyDescent="0.15">
      <c r="A78" s="32">
        <v>74</v>
      </c>
      <c r="B78" s="14" t="s">
        <v>168</v>
      </c>
      <c r="C78" s="9" t="str">
        <f>"国保水俣市立総合医療センター"</f>
        <v>国保水俣市立総合医療センター</v>
      </c>
      <c r="D78" s="16" t="str">
        <f>"867-0041"</f>
        <v>867-0041</v>
      </c>
      <c r="E78" s="8" t="s">
        <v>169</v>
      </c>
      <c r="F78" s="15">
        <v>966632101</v>
      </c>
      <c r="G78" s="9" t="str">
        <f>"水俣市"</f>
        <v>水俣市</v>
      </c>
      <c r="H78" s="18">
        <v>19603</v>
      </c>
      <c r="I78" s="18" t="s">
        <v>112</v>
      </c>
      <c r="J78" s="10">
        <f t="shared" si="7"/>
        <v>361</v>
      </c>
      <c r="K78" s="11">
        <v>357</v>
      </c>
      <c r="L78" s="11">
        <v>0</v>
      </c>
      <c r="M78" s="11">
        <v>0</v>
      </c>
      <c r="N78" s="11">
        <v>0</v>
      </c>
      <c r="O78" s="11">
        <v>4</v>
      </c>
      <c r="P78" s="12"/>
      <c r="Q78" s="12"/>
      <c r="R78" s="12"/>
      <c r="S78" s="12"/>
      <c r="T78" s="12"/>
      <c r="U78" s="12" t="s">
        <v>49</v>
      </c>
      <c r="V78" s="12"/>
      <c r="W78" s="12"/>
      <c r="X78" s="12"/>
      <c r="Y78" s="12" t="s">
        <v>49</v>
      </c>
      <c r="Z78" s="12" t="s">
        <v>49</v>
      </c>
      <c r="AA78" s="12"/>
      <c r="AB78" s="12"/>
      <c r="AC78" s="12" t="s">
        <v>49</v>
      </c>
      <c r="AD78" s="12"/>
      <c r="AE78" s="12" t="s">
        <v>49</v>
      </c>
      <c r="AF78" s="12"/>
      <c r="AG78" s="12" t="s">
        <v>49</v>
      </c>
      <c r="AH78" s="12"/>
      <c r="AI78" s="12"/>
      <c r="AJ78" s="12" t="s">
        <v>49</v>
      </c>
      <c r="AK78" s="12" t="s">
        <v>49</v>
      </c>
      <c r="AL78" s="12"/>
      <c r="AM78" s="12"/>
      <c r="AN78" s="12" t="s">
        <v>49</v>
      </c>
      <c r="AO78" s="12" t="s">
        <v>49</v>
      </c>
      <c r="AP78" s="12"/>
      <c r="AQ78" s="12"/>
      <c r="AR78" s="12" t="s">
        <v>49</v>
      </c>
      <c r="AS78" s="12" t="s">
        <v>49</v>
      </c>
      <c r="AT78" s="12" t="s">
        <v>49</v>
      </c>
      <c r="AU78" s="12"/>
      <c r="AV78" s="12"/>
      <c r="AW78" s="12"/>
      <c r="AX78" s="12"/>
      <c r="AY78" s="12"/>
      <c r="AZ78" s="12"/>
      <c r="BA78" s="12" t="s">
        <v>49</v>
      </c>
      <c r="BB78" s="9" t="s">
        <v>170</v>
      </c>
    </row>
    <row r="79" spans="1:54" s="32" customFormat="1" ht="24.75" customHeight="1" x14ac:dyDescent="0.15">
      <c r="A79" s="32">
        <v>75</v>
      </c>
      <c r="B79" s="14" t="s">
        <v>168</v>
      </c>
      <c r="C79" s="9" t="str">
        <f>"みずほ病院"</f>
        <v>みずほ病院</v>
      </c>
      <c r="D79" s="16" t="str">
        <f>"867-0034"</f>
        <v>867-0034</v>
      </c>
      <c r="E79" s="8" t="s">
        <v>171</v>
      </c>
      <c r="F79" s="15">
        <v>966635196</v>
      </c>
      <c r="G79" s="9" t="str">
        <f>"医療法人正仁会"</f>
        <v>医療法人正仁会</v>
      </c>
      <c r="H79" s="18">
        <v>23833</v>
      </c>
      <c r="I79" s="18" t="s">
        <v>112</v>
      </c>
      <c r="J79" s="10">
        <f t="shared" si="7"/>
        <v>180</v>
      </c>
      <c r="K79" s="11">
        <v>0</v>
      </c>
      <c r="L79" s="11">
        <v>0</v>
      </c>
      <c r="M79" s="11">
        <v>180</v>
      </c>
      <c r="N79" s="11">
        <v>0</v>
      </c>
      <c r="O79" s="11">
        <v>0</v>
      </c>
      <c r="P79" s="12" t="s">
        <v>233</v>
      </c>
      <c r="Q79" s="12"/>
      <c r="R79" s="12"/>
      <c r="S79" s="12"/>
      <c r="T79" s="12"/>
      <c r="U79" s="12"/>
      <c r="V79" s="12" t="s">
        <v>232</v>
      </c>
      <c r="W79" s="12" t="s">
        <v>232</v>
      </c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 t="s">
        <v>232</v>
      </c>
      <c r="AV79" s="12"/>
      <c r="AW79" s="12"/>
      <c r="AX79" s="12"/>
      <c r="AY79" s="12"/>
      <c r="AZ79" s="12"/>
      <c r="BA79" s="12"/>
      <c r="BB79" s="9"/>
    </row>
    <row r="80" spans="1:54" s="32" customFormat="1" ht="24.75" customHeight="1" x14ac:dyDescent="0.15">
      <c r="A80" s="32">
        <v>76</v>
      </c>
      <c r="B80" s="14" t="s">
        <v>168</v>
      </c>
      <c r="C80" s="9" t="str">
        <f>"岡部病院"</f>
        <v>岡部病院</v>
      </c>
      <c r="D80" s="16" t="str">
        <f>"867-0045"</f>
        <v>867-0045</v>
      </c>
      <c r="E80" s="8" t="s">
        <v>172</v>
      </c>
      <c r="F80" s="15">
        <v>966633311</v>
      </c>
      <c r="G80" s="9" t="str">
        <f>"医療法人　岡部病院"</f>
        <v>医療法人　岡部病院</v>
      </c>
      <c r="H80" s="18">
        <v>24685</v>
      </c>
      <c r="I80" s="18" t="s">
        <v>112</v>
      </c>
      <c r="J80" s="10">
        <f t="shared" si="7"/>
        <v>149</v>
      </c>
      <c r="K80" s="11">
        <v>52</v>
      </c>
      <c r="L80" s="11">
        <v>97</v>
      </c>
      <c r="M80" s="11">
        <v>0</v>
      </c>
      <c r="N80" s="11">
        <v>0</v>
      </c>
      <c r="O80" s="11">
        <v>0</v>
      </c>
      <c r="P80" s="12" t="s">
        <v>232</v>
      </c>
      <c r="Q80" s="12"/>
      <c r="R80" s="12"/>
      <c r="S80" s="12"/>
      <c r="T80" s="12"/>
      <c r="U80" s="12"/>
      <c r="V80" s="12"/>
      <c r="W80" s="12"/>
      <c r="X80" s="12"/>
      <c r="Y80" s="12" t="s">
        <v>49</v>
      </c>
      <c r="Z80" s="12" t="s">
        <v>49</v>
      </c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 t="s">
        <v>49</v>
      </c>
      <c r="AO80" s="12" t="s">
        <v>49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9" t="s">
        <v>173</v>
      </c>
    </row>
    <row r="81" spans="1:54" s="32" customFormat="1" ht="24.75" customHeight="1" x14ac:dyDescent="0.15">
      <c r="A81" s="32">
        <v>77</v>
      </c>
      <c r="B81" s="14" t="s">
        <v>168</v>
      </c>
      <c r="C81" s="9" t="str">
        <f>"水俣病院"</f>
        <v>水俣病院</v>
      </c>
      <c r="D81" s="16" t="s">
        <v>234</v>
      </c>
      <c r="E81" s="8" t="s">
        <v>174</v>
      </c>
      <c r="F81" s="15">
        <v>966633148</v>
      </c>
      <c r="G81" s="9" t="str">
        <f>"医療法人　旭会"</f>
        <v>医療法人　旭会</v>
      </c>
      <c r="H81" s="18">
        <v>24959</v>
      </c>
      <c r="I81" s="18" t="s">
        <v>112</v>
      </c>
      <c r="J81" s="10">
        <f t="shared" si="7"/>
        <v>200</v>
      </c>
      <c r="K81" s="11">
        <v>0</v>
      </c>
      <c r="L81" s="11">
        <v>0</v>
      </c>
      <c r="M81" s="11">
        <v>200</v>
      </c>
      <c r="N81" s="11">
        <v>0</v>
      </c>
      <c r="O81" s="11">
        <v>0</v>
      </c>
      <c r="P81" s="12"/>
      <c r="Q81" s="12"/>
      <c r="R81" s="12"/>
      <c r="S81" s="12"/>
      <c r="T81" s="12"/>
      <c r="U81" s="12"/>
      <c r="V81" s="12" t="s">
        <v>232</v>
      </c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9"/>
    </row>
    <row r="82" spans="1:54" s="32" customFormat="1" ht="24.75" customHeight="1" x14ac:dyDescent="0.15">
      <c r="A82" s="32">
        <v>78</v>
      </c>
      <c r="B82" s="14" t="s">
        <v>168</v>
      </c>
      <c r="C82" s="9" t="str">
        <f>"水俣協立病院"</f>
        <v>水俣協立病院</v>
      </c>
      <c r="D82" s="16" t="s">
        <v>235</v>
      </c>
      <c r="E82" s="8" t="s">
        <v>175</v>
      </c>
      <c r="F82" s="15">
        <v>966631704</v>
      </c>
      <c r="G82" s="9" t="str">
        <f>"社会医療法人　芳和会"</f>
        <v>社会医療法人　芳和会</v>
      </c>
      <c r="H82" s="18">
        <v>28549</v>
      </c>
      <c r="I82" s="18" t="s">
        <v>112</v>
      </c>
      <c r="J82" s="10">
        <f t="shared" si="7"/>
        <v>60</v>
      </c>
      <c r="K82" s="11">
        <v>60</v>
      </c>
      <c r="L82" s="11">
        <v>0</v>
      </c>
      <c r="M82" s="11">
        <v>0</v>
      </c>
      <c r="N82" s="11">
        <v>0</v>
      </c>
      <c r="O82" s="11">
        <v>0</v>
      </c>
      <c r="P82" s="12" t="s">
        <v>232</v>
      </c>
      <c r="Q82" s="12" t="s">
        <v>49</v>
      </c>
      <c r="R82" s="12" t="s">
        <v>49</v>
      </c>
      <c r="S82" s="12"/>
      <c r="T82" s="12" t="s">
        <v>49</v>
      </c>
      <c r="U82" s="12"/>
      <c r="V82" s="12" t="s">
        <v>232</v>
      </c>
      <c r="W82" s="12"/>
      <c r="X82" s="12" t="s">
        <v>49</v>
      </c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 t="s">
        <v>49</v>
      </c>
      <c r="AS82" s="12" t="s">
        <v>49</v>
      </c>
      <c r="AT82" s="12"/>
      <c r="AU82" s="12"/>
      <c r="AV82" s="12"/>
      <c r="AW82" s="12"/>
      <c r="AX82" s="12"/>
      <c r="AY82" s="12"/>
      <c r="AZ82" s="12"/>
      <c r="BA82" s="12"/>
      <c r="BB82" s="9"/>
    </row>
    <row r="83" spans="1:54" s="32" customFormat="1" ht="24.75" customHeight="1" x14ac:dyDescent="0.15">
      <c r="A83" s="32">
        <v>79</v>
      </c>
      <c r="B83" s="14" t="s">
        <v>168</v>
      </c>
      <c r="C83" s="9" t="str">
        <f>"白梅病院"</f>
        <v>白梅病院</v>
      </c>
      <c r="D83" s="16" t="str">
        <f>"867-0008"</f>
        <v>867-0008</v>
      </c>
      <c r="E83" s="8" t="s">
        <v>176</v>
      </c>
      <c r="F83" s="15">
        <v>966637575</v>
      </c>
      <c r="G83" s="9" t="str">
        <f>"医療法人　啓愛会"</f>
        <v>医療法人　啓愛会</v>
      </c>
      <c r="H83" s="18">
        <v>31079</v>
      </c>
      <c r="I83" s="18" t="s">
        <v>112</v>
      </c>
      <c r="J83" s="10">
        <f t="shared" si="7"/>
        <v>54</v>
      </c>
      <c r="K83" s="11">
        <v>0</v>
      </c>
      <c r="L83" s="11">
        <v>54</v>
      </c>
      <c r="M83" s="11">
        <v>0</v>
      </c>
      <c r="N83" s="11">
        <v>0</v>
      </c>
      <c r="O83" s="11">
        <v>0</v>
      </c>
      <c r="P83" s="12" t="s">
        <v>232</v>
      </c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 t="s">
        <v>49</v>
      </c>
      <c r="AS83" s="12"/>
      <c r="AT83" s="12"/>
      <c r="AU83" s="12"/>
      <c r="AV83" s="12"/>
      <c r="AW83" s="12"/>
      <c r="AX83" s="12"/>
      <c r="AY83" s="12"/>
      <c r="AZ83" s="12"/>
      <c r="BA83" s="12"/>
      <c r="BB83" s="9"/>
    </row>
    <row r="84" spans="1:54" s="32" customFormat="1" ht="24.75" customHeight="1" x14ac:dyDescent="0.15">
      <c r="A84" s="32">
        <v>80</v>
      </c>
      <c r="B84" s="14" t="s">
        <v>168</v>
      </c>
      <c r="C84" s="9" t="str">
        <f>"水俣市立明水園"</f>
        <v>水俣市立明水園</v>
      </c>
      <c r="D84" s="16" t="str">
        <f>"867-0008"</f>
        <v>867-0008</v>
      </c>
      <c r="E84" s="8" t="s">
        <v>177</v>
      </c>
      <c r="F84" s="15">
        <v>966631108</v>
      </c>
      <c r="G84" s="9" t="str">
        <f>"社会福祉法人　水俣市社会福祉事業団"</f>
        <v>社会福祉法人　水俣市社会福祉事業団</v>
      </c>
      <c r="H84" s="18">
        <v>26647</v>
      </c>
      <c r="I84" s="18" t="s">
        <v>112</v>
      </c>
      <c r="J84" s="10">
        <f t="shared" si="7"/>
        <v>65</v>
      </c>
      <c r="K84" s="11">
        <v>65</v>
      </c>
      <c r="L84" s="11">
        <v>0</v>
      </c>
      <c r="M84" s="11">
        <v>0</v>
      </c>
      <c r="N84" s="11">
        <v>0</v>
      </c>
      <c r="O84" s="11">
        <v>0</v>
      </c>
      <c r="P84" s="12" t="s">
        <v>232</v>
      </c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9"/>
    </row>
    <row r="85" spans="1:54" s="32" customFormat="1" ht="24.75" customHeight="1" x14ac:dyDescent="0.15">
      <c r="A85" s="32">
        <v>81</v>
      </c>
      <c r="B85" s="14" t="s">
        <v>168</v>
      </c>
      <c r="C85" s="9" t="str">
        <f>"医療法人社団　弘翔会　井上病院"</f>
        <v>医療法人社団　弘翔会　井上病院</v>
      </c>
      <c r="D85" s="16" t="s">
        <v>236</v>
      </c>
      <c r="E85" s="8" t="s">
        <v>178</v>
      </c>
      <c r="F85" s="15">
        <v>966825865</v>
      </c>
      <c r="G85" s="9" t="str">
        <f>"医療法人社団　弘翔会"</f>
        <v>医療法人社団　弘翔会</v>
      </c>
      <c r="H85" s="18">
        <v>36982</v>
      </c>
      <c r="I85" s="18" t="s">
        <v>112</v>
      </c>
      <c r="J85" s="10">
        <f t="shared" si="7"/>
        <v>40</v>
      </c>
      <c r="K85" s="11">
        <v>0</v>
      </c>
      <c r="L85" s="11">
        <v>40</v>
      </c>
      <c r="M85" s="11">
        <v>0</v>
      </c>
      <c r="N85" s="11">
        <v>0</v>
      </c>
      <c r="O85" s="11">
        <v>0</v>
      </c>
      <c r="P85" s="12" t="s">
        <v>232</v>
      </c>
      <c r="Q85" s="12"/>
      <c r="R85" s="12"/>
      <c r="S85" s="12" t="s">
        <v>49</v>
      </c>
      <c r="T85" s="12"/>
      <c r="U85" s="12" t="s">
        <v>49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9"/>
    </row>
    <row r="86" spans="1:54" s="32" customFormat="1" ht="24.75" customHeight="1" x14ac:dyDescent="0.15">
      <c r="A86" s="32">
        <v>82</v>
      </c>
      <c r="B86" s="14" t="s">
        <v>168</v>
      </c>
      <c r="C86" s="9" t="str">
        <f>"くまもと芦北療育医療センター"</f>
        <v>くまもと芦北療育医療センター</v>
      </c>
      <c r="D86" s="16" t="str">
        <f>"869-5461"</f>
        <v>869-5461</v>
      </c>
      <c r="E86" s="8" t="s">
        <v>179</v>
      </c>
      <c r="F86" s="15">
        <v>966822431</v>
      </c>
      <c r="G86" s="9" t="str">
        <f>"社会福祉法人　志友会"</f>
        <v>社会福祉法人　志友会</v>
      </c>
      <c r="H86" s="18">
        <v>25749</v>
      </c>
      <c r="I86" s="18" t="s">
        <v>112</v>
      </c>
      <c r="J86" s="10">
        <f t="shared" si="7"/>
        <v>205</v>
      </c>
      <c r="K86" s="11">
        <v>205</v>
      </c>
      <c r="L86" s="11">
        <v>0</v>
      </c>
      <c r="M86" s="11">
        <v>0</v>
      </c>
      <c r="N86" s="11">
        <v>0</v>
      </c>
      <c r="O86" s="11">
        <v>0</v>
      </c>
      <c r="P86" s="12" t="s">
        <v>232</v>
      </c>
      <c r="Q86" s="12"/>
      <c r="R86" s="12"/>
      <c r="S86" s="12"/>
      <c r="T86" s="12"/>
      <c r="U86" s="12" t="s">
        <v>49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 t="s">
        <v>49</v>
      </c>
      <c r="AY86" s="12"/>
      <c r="AZ86" s="12"/>
      <c r="BA86" s="12"/>
      <c r="BB86" s="9"/>
    </row>
    <row r="87" spans="1:54" s="32" customFormat="1" ht="24.75" customHeight="1" x14ac:dyDescent="0.15">
      <c r="A87" s="32">
        <v>83</v>
      </c>
      <c r="B87" s="14" t="s">
        <v>168</v>
      </c>
      <c r="C87" s="9" t="str">
        <f>"溝部病院"</f>
        <v>溝部病院</v>
      </c>
      <c r="D87" s="16" t="str">
        <f>"869-5563"</f>
        <v>869-5563</v>
      </c>
      <c r="E87" s="8" t="s">
        <v>180</v>
      </c>
      <c r="F87" s="15">
        <v>966862770</v>
      </c>
      <c r="G87" s="9" t="str">
        <f>"医療法人康生会"</f>
        <v>医療法人康生会</v>
      </c>
      <c r="H87" s="18">
        <v>39463</v>
      </c>
      <c r="I87" s="18" t="s">
        <v>112</v>
      </c>
      <c r="J87" s="10">
        <f t="shared" si="7"/>
        <v>44</v>
      </c>
      <c r="K87" s="11">
        <v>0</v>
      </c>
      <c r="L87" s="11">
        <v>44</v>
      </c>
      <c r="M87" s="11">
        <v>0</v>
      </c>
      <c r="N87" s="11">
        <v>0</v>
      </c>
      <c r="O87" s="11">
        <v>0</v>
      </c>
      <c r="P87" s="12" t="s">
        <v>232</v>
      </c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9" t="s">
        <v>51</v>
      </c>
    </row>
    <row r="88" spans="1:54" s="32" customFormat="1" ht="24.75" customHeight="1" x14ac:dyDescent="0.15">
      <c r="A88" s="32">
        <v>84</v>
      </c>
      <c r="B88" s="14" t="s">
        <v>181</v>
      </c>
      <c r="C88" s="9" t="str">
        <f>"愛生記念病院"</f>
        <v>愛生記念病院</v>
      </c>
      <c r="D88" s="16" t="str">
        <f>"868-0037"</f>
        <v>868-0037</v>
      </c>
      <c r="E88" s="33" t="s">
        <v>182</v>
      </c>
      <c r="F88" s="34">
        <v>966226878</v>
      </c>
      <c r="G88" s="35" t="str">
        <f>"医療法人愛生会"</f>
        <v>医療法人愛生会</v>
      </c>
      <c r="H88" s="36">
        <v>37704</v>
      </c>
      <c r="I88" s="18" t="s">
        <v>112</v>
      </c>
      <c r="J88" s="10">
        <f t="shared" si="7"/>
        <v>71</v>
      </c>
      <c r="K88" s="11">
        <v>71</v>
      </c>
      <c r="L88" s="11">
        <v>0</v>
      </c>
      <c r="M88" s="11">
        <v>0</v>
      </c>
      <c r="N88" s="11">
        <v>0</v>
      </c>
      <c r="O88" s="11">
        <v>0</v>
      </c>
      <c r="P88" s="12" t="s">
        <v>232</v>
      </c>
      <c r="Q88" s="12" t="s">
        <v>49</v>
      </c>
      <c r="R88" s="12" t="s">
        <v>49</v>
      </c>
      <c r="S88" s="12"/>
      <c r="T88" s="12" t="s">
        <v>49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 t="s">
        <v>49</v>
      </c>
      <c r="AS88" s="12" t="s">
        <v>49</v>
      </c>
      <c r="AT88" s="12"/>
      <c r="AU88" s="12"/>
      <c r="AV88" s="12"/>
      <c r="AW88" s="12"/>
      <c r="AX88" s="12"/>
      <c r="AY88" s="12"/>
      <c r="AZ88" s="12"/>
      <c r="BA88" s="12"/>
      <c r="BB88" s="9"/>
    </row>
    <row r="89" spans="1:54" s="32" customFormat="1" ht="24.75" customHeight="1" x14ac:dyDescent="0.15">
      <c r="A89" s="32">
        <v>85</v>
      </c>
      <c r="B89" s="14" t="s">
        <v>181</v>
      </c>
      <c r="C89" s="9" t="str">
        <f>"医療法人蘇春堂球磨病院"</f>
        <v>医療法人蘇春堂球磨病院</v>
      </c>
      <c r="D89" s="16" t="str">
        <f>"868-0005"</f>
        <v>868-0005</v>
      </c>
      <c r="E89" s="8" t="s">
        <v>183</v>
      </c>
      <c r="F89" s="15">
        <v>966223121</v>
      </c>
      <c r="G89" s="9" t="str">
        <f>"医療法人　蘇春堂"</f>
        <v>医療法人　蘇春堂</v>
      </c>
      <c r="H89" s="18">
        <v>36951</v>
      </c>
      <c r="I89" s="18" t="s">
        <v>112</v>
      </c>
      <c r="J89" s="10">
        <f t="shared" si="7"/>
        <v>238</v>
      </c>
      <c r="K89" s="11">
        <v>70</v>
      </c>
      <c r="L89" s="11">
        <v>168</v>
      </c>
      <c r="M89" s="11">
        <v>0</v>
      </c>
      <c r="N89" s="11">
        <v>0</v>
      </c>
      <c r="O89" s="11">
        <v>0</v>
      </c>
      <c r="P89" s="12" t="s">
        <v>232</v>
      </c>
      <c r="Q89" s="12"/>
      <c r="R89" s="12"/>
      <c r="S89" s="12"/>
      <c r="T89" s="12"/>
      <c r="U89" s="12" t="s">
        <v>49</v>
      </c>
      <c r="V89" s="12"/>
      <c r="W89" s="12"/>
      <c r="X89" s="12"/>
      <c r="Y89" s="12" t="s">
        <v>49</v>
      </c>
      <c r="Z89" s="12" t="s">
        <v>49</v>
      </c>
      <c r="AA89" s="12"/>
      <c r="AB89" s="12"/>
      <c r="AC89" s="12" t="s">
        <v>49</v>
      </c>
      <c r="AD89" s="12"/>
      <c r="AE89" s="12"/>
      <c r="AF89" s="12" t="s">
        <v>49</v>
      </c>
      <c r="AG89" s="12"/>
      <c r="AH89" s="12"/>
      <c r="AI89" s="12"/>
      <c r="AJ89" s="12"/>
      <c r="AK89" s="12" t="s">
        <v>49</v>
      </c>
      <c r="AL89" s="12"/>
      <c r="AM89" s="12" t="s">
        <v>49</v>
      </c>
      <c r="AN89" s="12"/>
      <c r="AO89" s="12" t="s">
        <v>49</v>
      </c>
      <c r="AP89" s="12"/>
      <c r="AQ89" s="12"/>
      <c r="AR89" s="12" t="s">
        <v>49</v>
      </c>
      <c r="AS89" s="12"/>
      <c r="AT89" s="12"/>
      <c r="AU89" s="12"/>
      <c r="AV89" s="12"/>
      <c r="AW89" s="12"/>
      <c r="AX89" s="12"/>
      <c r="AY89" s="12"/>
      <c r="AZ89" s="12"/>
      <c r="BA89" s="12"/>
      <c r="BB89" s="9"/>
    </row>
    <row r="90" spans="1:54" s="32" customFormat="1" ht="24.75" customHeight="1" x14ac:dyDescent="0.15">
      <c r="A90" s="32">
        <v>86</v>
      </c>
      <c r="B90" s="14" t="s">
        <v>181</v>
      </c>
      <c r="C90" s="9" t="str">
        <f>"医療法人外山胃腸病院"</f>
        <v>医療法人外山胃腸病院</v>
      </c>
      <c r="D90" s="16" t="str">
        <f>"868-0037"</f>
        <v>868-0037</v>
      </c>
      <c r="E90" s="8" t="s">
        <v>184</v>
      </c>
      <c r="F90" s="15">
        <v>966223221</v>
      </c>
      <c r="G90" s="9" t="str">
        <f>"医療法人外山胃腸病院"</f>
        <v>医療法人外山胃腸病院</v>
      </c>
      <c r="H90" s="18">
        <v>33147</v>
      </c>
      <c r="I90" s="18" t="s">
        <v>112</v>
      </c>
      <c r="J90" s="10">
        <f t="shared" si="7"/>
        <v>84</v>
      </c>
      <c r="K90" s="11">
        <v>58</v>
      </c>
      <c r="L90" s="11">
        <v>26</v>
      </c>
      <c r="M90" s="11">
        <v>0</v>
      </c>
      <c r="N90" s="11">
        <v>0</v>
      </c>
      <c r="O90" s="11">
        <v>0</v>
      </c>
      <c r="P90" s="12" t="s">
        <v>232</v>
      </c>
      <c r="Q90" s="12"/>
      <c r="R90" s="12"/>
      <c r="S90" s="12" t="s">
        <v>49</v>
      </c>
      <c r="T90" s="12"/>
      <c r="U90" s="12"/>
      <c r="V90" s="12"/>
      <c r="W90" s="12"/>
      <c r="X90" s="12"/>
      <c r="Y90" s="12" t="s">
        <v>49</v>
      </c>
      <c r="Z90" s="12" t="s">
        <v>49</v>
      </c>
      <c r="AA90" s="12" t="s">
        <v>49</v>
      </c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 t="s">
        <v>49</v>
      </c>
      <c r="AR90" s="12" t="s">
        <v>49</v>
      </c>
      <c r="AS90" s="12"/>
      <c r="AT90" s="12"/>
      <c r="AU90" s="12"/>
      <c r="AV90" s="12"/>
      <c r="AW90" s="12"/>
      <c r="AX90" s="12"/>
      <c r="AY90" s="12"/>
      <c r="AZ90" s="12"/>
      <c r="BA90" s="12"/>
      <c r="BB90" s="9"/>
    </row>
    <row r="91" spans="1:54" s="32" customFormat="1" ht="24.75" customHeight="1" x14ac:dyDescent="0.15">
      <c r="A91" s="32">
        <v>87</v>
      </c>
      <c r="B91" s="14" t="s">
        <v>181</v>
      </c>
      <c r="C91" s="9" t="str">
        <f>"球磨郡公立多良木病院"</f>
        <v>球磨郡公立多良木病院</v>
      </c>
      <c r="D91" s="16" t="str">
        <f>"868-0501"</f>
        <v>868-0501</v>
      </c>
      <c r="E91" s="8" t="s">
        <v>185</v>
      </c>
      <c r="F91" s="15">
        <v>966422560</v>
      </c>
      <c r="G91" s="9" t="str">
        <f>"球磨郡公立多良木病院企業団"</f>
        <v>球磨郡公立多良木病院企業団</v>
      </c>
      <c r="H91" s="18">
        <v>30956</v>
      </c>
      <c r="I91" s="18" t="s">
        <v>112</v>
      </c>
      <c r="J91" s="10">
        <f t="shared" si="7"/>
        <v>183</v>
      </c>
      <c r="K91" s="11">
        <v>183</v>
      </c>
      <c r="L91" s="11">
        <v>0</v>
      </c>
      <c r="M91" s="11">
        <v>0</v>
      </c>
      <c r="N91" s="11">
        <v>0</v>
      </c>
      <c r="O91" s="11">
        <v>0</v>
      </c>
      <c r="P91" s="12" t="s">
        <v>232</v>
      </c>
      <c r="Q91" s="12" t="s">
        <v>49</v>
      </c>
      <c r="R91" s="12" t="s">
        <v>49</v>
      </c>
      <c r="S91" s="12"/>
      <c r="T91" s="12" t="s">
        <v>49</v>
      </c>
      <c r="U91" s="12" t="s">
        <v>49</v>
      </c>
      <c r="V91" s="12"/>
      <c r="W91" s="12"/>
      <c r="X91" s="12"/>
      <c r="Y91" s="12" t="s">
        <v>49</v>
      </c>
      <c r="Z91" s="12" t="s">
        <v>49</v>
      </c>
      <c r="AA91" s="12"/>
      <c r="AB91" s="12"/>
      <c r="AC91" s="12" t="s">
        <v>49</v>
      </c>
      <c r="AD91" s="12"/>
      <c r="AE91" s="12" t="s">
        <v>49</v>
      </c>
      <c r="AF91" s="12"/>
      <c r="AG91" s="12" t="s">
        <v>49</v>
      </c>
      <c r="AH91" s="12"/>
      <c r="AI91" s="12"/>
      <c r="AJ91" s="12" t="s">
        <v>49</v>
      </c>
      <c r="AK91" s="12" t="s">
        <v>49</v>
      </c>
      <c r="AL91" s="12"/>
      <c r="AM91" s="12"/>
      <c r="AN91" s="12" t="s">
        <v>49</v>
      </c>
      <c r="AO91" s="12" t="s">
        <v>49</v>
      </c>
      <c r="AP91" s="12"/>
      <c r="AQ91" s="12"/>
      <c r="AR91" s="12" t="s">
        <v>49</v>
      </c>
      <c r="AS91" s="12"/>
      <c r="AT91" s="12"/>
      <c r="AU91" s="12"/>
      <c r="AV91" s="12"/>
      <c r="AW91" s="12"/>
      <c r="AX91" s="12" t="s">
        <v>49</v>
      </c>
      <c r="AY91" s="12"/>
      <c r="AZ91" s="12"/>
      <c r="BA91" s="12"/>
      <c r="BB91" s="9"/>
    </row>
    <row r="92" spans="1:54" s="32" customFormat="1" ht="30" customHeight="1" x14ac:dyDescent="0.15">
      <c r="A92" s="32">
        <v>88</v>
      </c>
      <c r="B92" s="14" t="s">
        <v>181</v>
      </c>
      <c r="C92" s="9" t="str">
        <f>"独立行政法人　地域医療機能推進機構　人吉医療センター"</f>
        <v>独立行政法人　地域医療機能推進機構　人吉医療センター</v>
      </c>
      <c r="D92" s="16" t="str">
        <f>"868-8555"</f>
        <v>868-8555</v>
      </c>
      <c r="E92" s="8" t="s">
        <v>186</v>
      </c>
      <c r="F92" s="15">
        <v>966222191</v>
      </c>
      <c r="G92" s="9" t="str">
        <f>"独立行政法人　地域医療機能推進機構"</f>
        <v>独立行政法人　地域医療機能推進機構</v>
      </c>
      <c r="H92" s="18">
        <v>22782</v>
      </c>
      <c r="I92" s="18" t="s">
        <v>112</v>
      </c>
      <c r="J92" s="10">
        <f t="shared" si="7"/>
        <v>252</v>
      </c>
      <c r="K92" s="11">
        <v>248</v>
      </c>
      <c r="L92" s="11">
        <v>0</v>
      </c>
      <c r="M92" s="11">
        <v>0</v>
      </c>
      <c r="N92" s="11">
        <v>0</v>
      </c>
      <c r="O92" s="11">
        <v>4</v>
      </c>
      <c r="P92" s="12" t="s">
        <v>232</v>
      </c>
      <c r="Q92" s="12"/>
      <c r="R92" s="12"/>
      <c r="S92" s="12"/>
      <c r="T92" s="12"/>
      <c r="U92" s="12" t="s">
        <v>49</v>
      </c>
      <c r="V92" s="12"/>
      <c r="W92" s="12"/>
      <c r="X92" s="12" t="s">
        <v>49</v>
      </c>
      <c r="Y92" s="12" t="s">
        <v>49</v>
      </c>
      <c r="Z92" s="12" t="s">
        <v>49</v>
      </c>
      <c r="AA92" s="12" t="s">
        <v>49</v>
      </c>
      <c r="AB92" s="12"/>
      <c r="AC92" s="12" t="s">
        <v>49</v>
      </c>
      <c r="AD92" s="12" t="s">
        <v>49</v>
      </c>
      <c r="AE92" s="12"/>
      <c r="AF92" s="12"/>
      <c r="AG92" s="12" t="s">
        <v>49</v>
      </c>
      <c r="AH92" s="12"/>
      <c r="AI92" s="12"/>
      <c r="AJ92" s="12" t="s">
        <v>49</v>
      </c>
      <c r="AK92" s="12" t="s">
        <v>49</v>
      </c>
      <c r="AL92" s="12"/>
      <c r="AM92" s="12"/>
      <c r="AN92" s="12" t="s">
        <v>49</v>
      </c>
      <c r="AO92" s="12" t="s">
        <v>49</v>
      </c>
      <c r="AP92" s="12"/>
      <c r="AQ92" s="12"/>
      <c r="AR92" s="12" t="s">
        <v>49</v>
      </c>
      <c r="AS92" s="12" t="s">
        <v>49</v>
      </c>
      <c r="AT92" s="12" t="s">
        <v>49</v>
      </c>
      <c r="AU92" s="12"/>
      <c r="AV92" s="12"/>
      <c r="AW92" s="12"/>
      <c r="AX92" s="12"/>
      <c r="AY92" s="12"/>
      <c r="AZ92" s="12"/>
      <c r="BA92" s="12" t="s">
        <v>49</v>
      </c>
      <c r="BB92" s="9" t="s">
        <v>187</v>
      </c>
    </row>
    <row r="93" spans="1:54" s="32" customFormat="1" ht="24.75" customHeight="1" x14ac:dyDescent="0.15">
      <c r="A93" s="32">
        <v>89</v>
      </c>
      <c r="B93" s="14" t="s">
        <v>181</v>
      </c>
      <c r="C93" s="9" t="str">
        <f>"光生病院"</f>
        <v>光生病院</v>
      </c>
      <c r="D93" s="16" t="str">
        <f>"868-0086"</f>
        <v>868-0086</v>
      </c>
      <c r="E93" s="8" t="s">
        <v>188</v>
      </c>
      <c r="F93" s="15">
        <v>966225207</v>
      </c>
      <c r="G93" s="9" t="str">
        <f>"医療法人　蘇春堂"</f>
        <v>医療法人　蘇春堂</v>
      </c>
      <c r="H93" s="18">
        <v>24289</v>
      </c>
      <c r="I93" s="18" t="s">
        <v>112</v>
      </c>
      <c r="J93" s="10">
        <f t="shared" si="7"/>
        <v>206</v>
      </c>
      <c r="K93" s="11">
        <v>0</v>
      </c>
      <c r="L93" s="11">
        <v>0</v>
      </c>
      <c r="M93" s="11">
        <v>206</v>
      </c>
      <c r="N93" s="11">
        <v>0</v>
      </c>
      <c r="O93" s="11">
        <v>0</v>
      </c>
      <c r="P93" s="12"/>
      <c r="Q93" s="12"/>
      <c r="R93" s="12"/>
      <c r="S93" s="12"/>
      <c r="T93" s="12"/>
      <c r="U93" s="12"/>
      <c r="V93" s="12" t="s">
        <v>232</v>
      </c>
      <c r="W93" s="12" t="s">
        <v>232</v>
      </c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9"/>
    </row>
    <row r="94" spans="1:54" s="32" customFormat="1" ht="24.75" customHeight="1" x14ac:dyDescent="0.15">
      <c r="A94" s="32">
        <v>90</v>
      </c>
      <c r="B94" s="14" t="s">
        <v>181</v>
      </c>
      <c r="C94" s="9" t="str">
        <f>"東病院"</f>
        <v>東病院</v>
      </c>
      <c r="D94" s="16" t="str">
        <f>"868-0431"</f>
        <v>868-0431</v>
      </c>
      <c r="E94" s="8" t="s">
        <v>189</v>
      </c>
      <c r="F94" s="15">
        <v>966455711</v>
      </c>
      <c r="G94" s="9" t="str">
        <f>"医療法人誠心会"</f>
        <v>医療法人誠心会</v>
      </c>
      <c r="H94" s="18">
        <v>33939</v>
      </c>
      <c r="I94" s="18" t="s">
        <v>112</v>
      </c>
      <c r="J94" s="10">
        <f t="shared" si="7"/>
        <v>54</v>
      </c>
      <c r="K94" s="11">
        <v>0</v>
      </c>
      <c r="L94" s="11">
        <v>54</v>
      </c>
      <c r="M94" s="11">
        <v>0</v>
      </c>
      <c r="N94" s="11">
        <v>0</v>
      </c>
      <c r="O94" s="11">
        <v>0</v>
      </c>
      <c r="P94" s="12" t="s">
        <v>232</v>
      </c>
      <c r="Q94" s="12" t="s">
        <v>49</v>
      </c>
      <c r="R94" s="12" t="s">
        <v>49</v>
      </c>
      <c r="S94" s="12" t="s">
        <v>49</v>
      </c>
      <c r="T94" s="12"/>
      <c r="U94" s="12" t="s">
        <v>49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 t="s">
        <v>49</v>
      </c>
      <c r="AS94" s="12" t="s">
        <v>49</v>
      </c>
      <c r="AT94" s="12"/>
      <c r="AU94" s="12"/>
      <c r="AV94" s="12"/>
      <c r="AW94" s="12" t="s">
        <v>49</v>
      </c>
      <c r="AX94" s="12"/>
      <c r="AY94" s="12"/>
      <c r="AZ94" s="12"/>
      <c r="BA94" s="12"/>
      <c r="BB94" s="9"/>
    </row>
    <row r="95" spans="1:54" s="32" customFormat="1" ht="24.75" customHeight="1" x14ac:dyDescent="0.15">
      <c r="A95" s="32">
        <v>91</v>
      </c>
      <c r="B95" s="14" t="s">
        <v>181</v>
      </c>
      <c r="C95" s="9" t="str">
        <f>"堤病院"</f>
        <v>堤病院</v>
      </c>
      <c r="D95" s="16" t="str">
        <f>"868-0083"</f>
        <v>868-0083</v>
      </c>
      <c r="E95" s="8" t="s">
        <v>190</v>
      </c>
      <c r="F95" s="15">
        <v>966220200</v>
      </c>
      <c r="G95" s="9" t="str">
        <f>"医療法人回生会"</f>
        <v>医療法人回生会</v>
      </c>
      <c r="H95" s="18">
        <v>36671</v>
      </c>
      <c r="I95" s="18" t="s">
        <v>112</v>
      </c>
      <c r="J95" s="10">
        <f t="shared" si="7"/>
        <v>55</v>
      </c>
      <c r="K95" s="11">
        <v>0</v>
      </c>
      <c r="L95" s="11">
        <v>55</v>
      </c>
      <c r="M95" s="11">
        <v>0</v>
      </c>
      <c r="N95" s="11">
        <v>0</v>
      </c>
      <c r="O95" s="11">
        <v>0</v>
      </c>
      <c r="P95" s="12" t="s">
        <v>232</v>
      </c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 t="s">
        <v>49</v>
      </c>
      <c r="AS95" s="12"/>
      <c r="AT95" s="12"/>
      <c r="AU95" s="12"/>
      <c r="AV95" s="12"/>
      <c r="AW95" s="12"/>
      <c r="AX95" s="12"/>
      <c r="AY95" s="12"/>
      <c r="AZ95" s="12"/>
      <c r="BA95" s="12"/>
      <c r="BB95" s="9" t="s">
        <v>191</v>
      </c>
    </row>
    <row r="96" spans="1:54" s="32" customFormat="1" ht="24.75" customHeight="1" x14ac:dyDescent="0.15">
      <c r="A96" s="32">
        <v>92</v>
      </c>
      <c r="B96" s="14" t="s">
        <v>181</v>
      </c>
      <c r="C96" s="9" t="str">
        <f>"吉田病院"</f>
        <v>吉田病院</v>
      </c>
      <c r="D96" s="16" t="str">
        <f>"868-0015"</f>
        <v>868-0015</v>
      </c>
      <c r="E96" s="8" t="s">
        <v>192</v>
      </c>
      <c r="F96" s="15">
        <v>966224051</v>
      </c>
      <c r="G96" s="9" t="str">
        <f>"医療法人　精翠会"</f>
        <v>医療法人　精翠会</v>
      </c>
      <c r="H96" s="18">
        <v>20029</v>
      </c>
      <c r="I96" s="18" t="s">
        <v>112</v>
      </c>
      <c r="J96" s="10">
        <v>187</v>
      </c>
      <c r="K96" s="11">
        <v>0</v>
      </c>
      <c r="L96" s="11">
        <v>0</v>
      </c>
      <c r="M96" s="11">
        <v>187</v>
      </c>
      <c r="N96" s="11">
        <v>0</v>
      </c>
      <c r="O96" s="11">
        <v>0</v>
      </c>
      <c r="P96" s="12"/>
      <c r="Q96" s="12"/>
      <c r="R96" s="12"/>
      <c r="S96" s="12"/>
      <c r="T96" s="12"/>
      <c r="U96" s="12"/>
      <c r="V96" s="12" t="s">
        <v>232</v>
      </c>
      <c r="W96" s="12" t="s">
        <v>232</v>
      </c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9"/>
    </row>
    <row r="97" spans="1:54" s="32" customFormat="1" ht="24.75" customHeight="1" x14ac:dyDescent="0.15">
      <c r="A97" s="32">
        <v>93</v>
      </c>
      <c r="B97" s="14" t="s">
        <v>181</v>
      </c>
      <c r="C97" s="9" t="str">
        <f>"万江病院"</f>
        <v>万江病院</v>
      </c>
      <c r="D97" s="16" t="str">
        <f>"868-0025"</f>
        <v>868-0025</v>
      </c>
      <c r="E97" s="8" t="s">
        <v>193</v>
      </c>
      <c r="F97" s="15">
        <v>966222357</v>
      </c>
      <c r="G97" s="9" t="str">
        <f>"医療法人　恵泉会"</f>
        <v>医療法人　恵泉会</v>
      </c>
      <c r="H97" s="18">
        <v>39753</v>
      </c>
      <c r="I97" s="18" t="s">
        <v>112</v>
      </c>
      <c r="J97" s="10">
        <f t="shared" ref="J97:J116" si="8">K97+L97+M97+N97+O97</f>
        <v>60</v>
      </c>
      <c r="K97" s="11">
        <v>0</v>
      </c>
      <c r="L97" s="11">
        <v>60</v>
      </c>
      <c r="M97" s="11">
        <v>0</v>
      </c>
      <c r="N97" s="11">
        <v>0</v>
      </c>
      <c r="O97" s="11">
        <v>0</v>
      </c>
      <c r="P97" s="12" t="s">
        <v>115</v>
      </c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 t="s">
        <v>49</v>
      </c>
      <c r="AS97" s="12"/>
      <c r="AT97" s="12"/>
      <c r="AU97" s="12"/>
      <c r="AV97" s="12"/>
      <c r="AW97" s="12"/>
      <c r="AX97" s="12"/>
      <c r="AY97" s="12"/>
      <c r="AZ97" s="12"/>
      <c r="BA97" s="12"/>
      <c r="BB97" s="9" t="s">
        <v>194</v>
      </c>
    </row>
    <row r="98" spans="1:54" s="32" customFormat="1" ht="24.75" customHeight="1" x14ac:dyDescent="0.15">
      <c r="A98" s="32">
        <v>94</v>
      </c>
      <c r="B98" s="14" t="s">
        <v>181</v>
      </c>
      <c r="C98" s="9" t="str">
        <f>"人吉リハビリテーション病院"</f>
        <v>人吉リハビリテーション病院</v>
      </c>
      <c r="D98" s="16" t="str">
        <f>"868-0033"</f>
        <v>868-0033</v>
      </c>
      <c r="E98" s="8" t="s">
        <v>195</v>
      </c>
      <c r="F98" s="15">
        <v>966246111</v>
      </c>
      <c r="G98" s="9" t="str">
        <f>"医療法人社団　同心会"</f>
        <v>医療法人社団　同心会</v>
      </c>
      <c r="H98" s="18">
        <v>41030</v>
      </c>
      <c r="I98" s="18" t="s">
        <v>112</v>
      </c>
      <c r="J98" s="10">
        <f t="shared" si="8"/>
        <v>54</v>
      </c>
      <c r="K98" s="11">
        <v>0</v>
      </c>
      <c r="L98" s="11">
        <v>54</v>
      </c>
      <c r="M98" s="11">
        <v>0</v>
      </c>
      <c r="N98" s="11">
        <v>0</v>
      </c>
      <c r="O98" s="11">
        <v>0</v>
      </c>
      <c r="P98" s="12" t="s">
        <v>232</v>
      </c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 t="s">
        <v>49</v>
      </c>
      <c r="AS98" s="12" t="s">
        <v>49</v>
      </c>
      <c r="AT98" s="12"/>
      <c r="AU98" s="12"/>
      <c r="AV98" s="12"/>
      <c r="AW98" s="12"/>
      <c r="AX98" s="12"/>
      <c r="AY98" s="12"/>
      <c r="AZ98" s="12"/>
      <c r="BA98" s="12"/>
      <c r="BB98" s="9" t="s">
        <v>143</v>
      </c>
    </row>
    <row r="99" spans="1:54" s="32" customFormat="1" ht="24.75" customHeight="1" x14ac:dyDescent="0.15">
      <c r="A99" s="32">
        <v>95</v>
      </c>
      <c r="B99" s="14" t="str">
        <f t="shared" ref="B99:B116" si="9">"天草"</f>
        <v>天草</v>
      </c>
      <c r="C99" s="9" t="str">
        <f>"天草厚生病院"</f>
        <v>天草厚生病院</v>
      </c>
      <c r="D99" s="22" t="str">
        <f>"861-7313"</f>
        <v>861-7313</v>
      </c>
      <c r="E99" s="9" t="s">
        <v>196</v>
      </c>
      <c r="F99" s="23">
        <v>969256111</v>
      </c>
      <c r="G99" s="9" t="str">
        <f>"医療法人社団　平成会"</f>
        <v>医療法人社団　平成会</v>
      </c>
      <c r="H99" s="24">
        <v>37653</v>
      </c>
      <c r="I99" s="18" t="s">
        <v>112</v>
      </c>
      <c r="J99" s="10">
        <f t="shared" si="8"/>
        <v>180</v>
      </c>
      <c r="K99" s="25">
        <v>0</v>
      </c>
      <c r="L99" s="25">
        <v>180</v>
      </c>
      <c r="M99" s="25">
        <v>0</v>
      </c>
      <c r="N99" s="25">
        <v>0</v>
      </c>
      <c r="O99" s="25">
        <v>0</v>
      </c>
      <c r="P99" s="14" t="s">
        <v>232</v>
      </c>
      <c r="Q99" s="14"/>
      <c r="R99" s="14"/>
      <c r="S99" s="14"/>
      <c r="T99" s="14" t="s">
        <v>49</v>
      </c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 t="s">
        <v>49</v>
      </c>
      <c r="AS99" s="14" t="s">
        <v>49</v>
      </c>
      <c r="AT99" s="14"/>
      <c r="AU99" s="14"/>
      <c r="AV99" s="14"/>
      <c r="AW99" s="14"/>
      <c r="AX99" s="14"/>
      <c r="AY99" s="14"/>
      <c r="AZ99" s="14"/>
      <c r="BA99" s="14"/>
      <c r="BB99" s="9"/>
    </row>
    <row r="100" spans="1:54" s="32" customFormat="1" ht="24.75" customHeight="1" x14ac:dyDescent="0.15">
      <c r="A100" s="32">
        <v>96</v>
      </c>
      <c r="B100" s="14" t="str">
        <f t="shared" si="9"/>
        <v>天草</v>
      </c>
      <c r="C100" s="9" t="str">
        <f>"天草慈恵病院"</f>
        <v>天草慈恵病院</v>
      </c>
      <c r="D100" s="22" t="str">
        <f>"863-2502"</f>
        <v>863-2502</v>
      </c>
      <c r="E100" s="9" t="s">
        <v>197</v>
      </c>
      <c r="F100" s="23">
        <v>969371111</v>
      </c>
      <c r="G100" s="9" t="str">
        <f>"社会医療法人　稲穂会"</f>
        <v>社会医療法人　稲穂会</v>
      </c>
      <c r="H100" s="24">
        <v>32540</v>
      </c>
      <c r="I100" s="18" t="s">
        <v>112</v>
      </c>
      <c r="J100" s="10">
        <f t="shared" si="8"/>
        <v>120</v>
      </c>
      <c r="K100" s="25">
        <v>42</v>
      </c>
      <c r="L100" s="25">
        <v>78</v>
      </c>
      <c r="M100" s="25">
        <v>0</v>
      </c>
      <c r="N100" s="25">
        <v>0</v>
      </c>
      <c r="O100" s="25">
        <v>0</v>
      </c>
      <c r="P100" s="14" t="s">
        <v>232</v>
      </c>
      <c r="Q100" s="14"/>
      <c r="R100" s="14"/>
      <c r="S100" s="14"/>
      <c r="T100" s="14"/>
      <c r="U100" s="14" t="s">
        <v>49</v>
      </c>
      <c r="V100" s="14" t="s">
        <v>232</v>
      </c>
      <c r="W100" s="14"/>
      <c r="X100" s="14"/>
      <c r="Y100" s="14" t="s">
        <v>49</v>
      </c>
      <c r="Z100" s="14" t="s">
        <v>49</v>
      </c>
      <c r="AA100" s="14"/>
      <c r="AB100" s="14"/>
      <c r="AC100" s="14"/>
      <c r="AD100" s="14"/>
      <c r="AE100" s="14"/>
      <c r="AF100" s="14"/>
      <c r="AG100" s="14"/>
      <c r="AH100" s="14"/>
      <c r="AI100" s="14"/>
      <c r="AJ100" s="14" t="s">
        <v>49</v>
      </c>
      <c r="AK100" s="14" t="s">
        <v>49</v>
      </c>
      <c r="AL100" s="14"/>
      <c r="AM100" s="14"/>
      <c r="AN100" s="14"/>
      <c r="AO100" s="14" t="s">
        <v>49</v>
      </c>
      <c r="AP100" s="14"/>
      <c r="AQ100" s="14"/>
      <c r="AR100" s="14" t="s">
        <v>49</v>
      </c>
      <c r="AS100" s="14"/>
      <c r="AT100" s="14"/>
      <c r="AU100" s="14"/>
      <c r="AV100" s="14"/>
      <c r="AW100" s="14"/>
      <c r="AX100" s="14"/>
      <c r="AY100" s="14"/>
      <c r="AZ100" s="14"/>
      <c r="BA100" s="14"/>
      <c r="BB100" s="9" t="s">
        <v>194</v>
      </c>
    </row>
    <row r="101" spans="1:54" s="32" customFormat="1" ht="24.75" customHeight="1" x14ac:dyDescent="0.15">
      <c r="A101" s="32">
        <v>97</v>
      </c>
      <c r="B101" s="14" t="str">
        <f t="shared" si="9"/>
        <v>天草</v>
      </c>
      <c r="C101" s="9" t="str">
        <f>"天草セントラル病院"</f>
        <v>天草セントラル病院</v>
      </c>
      <c r="D101" s="22" t="str">
        <f>"863-2201"</f>
        <v>863-2201</v>
      </c>
      <c r="E101" s="9" t="s">
        <v>198</v>
      </c>
      <c r="F101" s="23">
        <v>969322111</v>
      </c>
      <c r="G101" s="9" t="str">
        <f>"医療法人　一陽会"</f>
        <v>医療法人　一陽会</v>
      </c>
      <c r="H101" s="24">
        <v>30286</v>
      </c>
      <c r="I101" s="18" t="s">
        <v>112</v>
      </c>
      <c r="J101" s="10">
        <f t="shared" si="8"/>
        <v>302</v>
      </c>
      <c r="K101" s="25">
        <v>0</v>
      </c>
      <c r="L101" s="25">
        <v>302</v>
      </c>
      <c r="M101" s="25">
        <v>0</v>
      </c>
      <c r="N101" s="25">
        <v>0</v>
      </c>
      <c r="O101" s="25">
        <v>0</v>
      </c>
      <c r="P101" s="14" t="s">
        <v>232</v>
      </c>
      <c r="Q101" s="14" t="s">
        <v>49</v>
      </c>
      <c r="R101" s="14" t="s">
        <v>49</v>
      </c>
      <c r="S101" s="14"/>
      <c r="T101" s="14" t="s">
        <v>49</v>
      </c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 t="s">
        <v>49</v>
      </c>
      <c r="AS101" s="14" t="s">
        <v>49</v>
      </c>
      <c r="AT101" s="14"/>
      <c r="AU101" s="14"/>
      <c r="AV101" s="14"/>
      <c r="AW101" s="14"/>
      <c r="AX101" s="14"/>
      <c r="AY101" s="14"/>
      <c r="AZ101" s="14"/>
      <c r="BA101" s="14"/>
      <c r="BB101" s="9"/>
    </row>
    <row r="102" spans="1:54" s="32" customFormat="1" ht="50.25" customHeight="1" x14ac:dyDescent="0.15">
      <c r="A102" s="32">
        <v>98</v>
      </c>
      <c r="B102" s="14" t="str">
        <f t="shared" si="9"/>
        <v>天草</v>
      </c>
      <c r="C102" s="9" t="str">
        <f>"天草第一病院"</f>
        <v>天草第一病院</v>
      </c>
      <c r="D102" s="22" t="str">
        <f>"863-0013"</f>
        <v>863-0013</v>
      </c>
      <c r="E102" s="9" t="s">
        <v>199</v>
      </c>
      <c r="F102" s="23">
        <v>969243777</v>
      </c>
      <c r="G102" s="9" t="str">
        <f>"医療法人社団　永寿会"</f>
        <v>医療法人社団　永寿会</v>
      </c>
      <c r="H102" s="24">
        <v>30803</v>
      </c>
      <c r="I102" s="18" t="s">
        <v>112</v>
      </c>
      <c r="J102" s="10">
        <f t="shared" si="8"/>
        <v>128</v>
      </c>
      <c r="K102" s="25">
        <v>68</v>
      </c>
      <c r="L102" s="25">
        <v>60</v>
      </c>
      <c r="M102" s="25">
        <v>0</v>
      </c>
      <c r="N102" s="25">
        <v>0</v>
      </c>
      <c r="O102" s="25">
        <v>0</v>
      </c>
      <c r="P102" s="14" t="s">
        <v>232</v>
      </c>
      <c r="Q102" s="14"/>
      <c r="R102" s="14"/>
      <c r="S102" s="14"/>
      <c r="T102" s="14"/>
      <c r="U102" s="14"/>
      <c r="V102" s="14"/>
      <c r="W102" s="14"/>
      <c r="X102" s="14"/>
      <c r="Y102" s="14" t="s">
        <v>49</v>
      </c>
      <c r="Z102" s="14" t="s">
        <v>49</v>
      </c>
      <c r="AA102" s="14"/>
      <c r="AB102" s="14"/>
      <c r="AC102" s="14" t="s">
        <v>49</v>
      </c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 t="s">
        <v>49</v>
      </c>
      <c r="AP102" s="14"/>
      <c r="AQ102" s="14"/>
      <c r="AR102" s="14" t="s">
        <v>49</v>
      </c>
      <c r="AS102" s="14"/>
      <c r="AT102" s="14"/>
      <c r="AU102" s="14"/>
      <c r="AV102" s="14"/>
      <c r="AW102" s="14" t="s">
        <v>49</v>
      </c>
      <c r="AX102" s="14"/>
      <c r="AY102" s="14"/>
      <c r="AZ102" s="14"/>
      <c r="BA102" s="14"/>
      <c r="BB102" s="9" t="s">
        <v>200</v>
      </c>
    </row>
    <row r="103" spans="1:54" s="32" customFormat="1" ht="24.75" customHeight="1" x14ac:dyDescent="0.15">
      <c r="A103" s="32">
        <v>99</v>
      </c>
      <c r="B103" s="14" t="str">
        <f t="shared" si="9"/>
        <v>天草</v>
      </c>
      <c r="C103" s="9" t="str">
        <f>"一般社団法人　天草郡市医師会立天草地域医療センター"</f>
        <v>一般社団法人　天草郡市医師会立天草地域医療センター</v>
      </c>
      <c r="D103" s="22" t="str">
        <f>"863-0046"</f>
        <v>863-0046</v>
      </c>
      <c r="E103" s="9" t="s">
        <v>201</v>
      </c>
      <c r="F103" s="23">
        <v>969244111</v>
      </c>
      <c r="G103" s="9" t="str">
        <f>"一般社団法人　天草郡市医師会"</f>
        <v>一般社団法人　天草郡市医師会</v>
      </c>
      <c r="H103" s="24">
        <v>33695</v>
      </c>
      <c r="I103" s="18" t="s">
        <v>112</v>
      </c>
      <c r="J103" s="10">
        <f t="shared" si="8"/>
        <v>210</v>
      </c>
      <c r="K103" s="25">
        <v>210</v>
      </c>
      <c r="L103" s="25">
        <v>0</v>
      </c>
      <c r="M103" s="25">
        <v>0</v>
      </c>
      <c r="N103" s="25">
        <v>0</v>
      </c>
      <c r="O103" s="25">
        <v>0</v>
      </c>
      <c r="P103" s="14" t="s">
        <v>232</v>
      </c>
      <c r="Q103" s="14" t="s">
        <v>49</v>
      </c>
      <c r="R103" s="14" t="s">
        <v>49</v>
      </c>
      <c r="S103" s="14"/>
      <c r="T103" s="14" t="s">
        <v>49</v>
      </c>
      <c r="U103" s="14" t="s">
        <v>49</v>
      </c>
      <c r="V103" s="14"/>
      <c r="W103" s="14"/>
      <c r="X103" s="14" t="s">
        <v>49</v>
      </c>
      <c r="Y103" s="14" t="s">
        <v>49</v>
      </c>
      <c r="Z103" s="14" t="s">
        <v>49</v>
      </c>
      <c r="AA103" s="14"/>
      <c r="AB103" s="14"/>
      <c r="AC103" s="14" t="s">
        <v>49</v>
      </c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 t="s">
        <v>49</v>
      </c>
      <c r="AP103" s="14"/>
      <c r="AQ103" s="14"/>
      <c r="AR103" s="14" t="s">
        <v>49</v>
      </c>
      <c r="AS103" s="14" t="s">
        <v>49</v>
      </c>
      <c r="AT103" s="14" t="s">
        <v>49</v>
      </c>
      <c r="AU103" s="14"/>
      <c r="AV103" s="14"/>
      <c r="AW103" s="14" t="s">
        <v>49</v>
      </c>
      <c r="AX103" s="14"/>
      <c r="AY103" s="14"/>
      <c r="AZ103" s="14"/>
      <c r="BA103" s="14"/>
      <c r="BB103" s="9" t="s">
        <v>202</v>
      </c>
    </row>
    <row r="104" spans="1:54" s="32" customFormat="1" ht="24.75" customHeight="1" x14ac:dyDescent="0.15">
      <c r="A104" s="32">
        <v>100</v>
      </c>
      <c r="B104" s="14" t="str">
        <f t="shared" si="9"/>
        <v>天草</v>
      </c>
      <c r="C104" s="9" t="str">
        <f>"独立行政法人地域医療機能推進機構　天草中央総合病院"</f>
        <v>独立行政法人地域医療機能推進機構　天草中央総合病院</v>
      </c>
      <c r="D104" s="22" t="str">
        <f>"863-0033"</f>
        <v>863-0033</v>
      </c>
      <c r="E104" s="9" t="s">
        <v>203</v>
      </c>
      <c r="F104" s="23">
        <v>969220011</v>
      </c>
      <c r="G104" s="9" t="str">
        <f>"独立行政法人地域医療機能推進機構"</f>
        <v>独立行政法人地域医療機能推進機構</v>
      </c>
      <c r="H104" s="24">
        <v>26238</v>
      </c>
      <c r="I104" s="18" t="s">
        <v>112</v>
      </c>
      <c r="J104" s="10">
        <f t="shared" si="8"/>
        <v>155</v>
      </c>
      <c r="K104" s="25">
        <v>149</v>
      </c>
      <c r="L104" s="25">
        <v>0</v>
      </c>
      <c r="M104" s="25">
        <v>0</v>
      </c>
      <c r="N104" s="25">
        <v>2</v>
      </c>
      <c r="O104" s="25">
        <v>4</v>
      </c>
      <c r="P104" s="14" t="s">
        <v>232</v>
      </c>
      <c r="Q104" s="14"/>
      <c r="R104" s="14"/>
      <c r="S104" s="14"/>
      <c r="T104" s="14"/>
      <c r="U104" s="14" t="s">
        <v>49</v>
      </c>
      <c r="V104" s="14"/>
      <c r="W104" s="14"/>
      <c r="X104" s="14"/>
      <c r="Y104" s="14" t="s">
        <v>49</v>
      </c>
      <c r="Z104" s="14" t="s">
        <v>49</v>
      </c>
      <c r="AA104" s="14"/>
      <c r="AB104" s="14"/>
      <c r="AC104" s="14" t="s">
        <v>49</v>
      </c>
      <c r="AD104" s="14"/>
      <c r="AE104" s="14"/>
      <c r="AF104" s="14"/>
      <c r="AG104" s="14" t="s">
        <v>49</v>
      </c>
      <c r="AH104" s="14"/>
      <c r="AI104" s="14"/>
      <c r="AJ104" s="14"/>
      <c r="AK104" s="14" t="s">
        <v>49</v>
      </c>
      <c r="AL104" s="14"/>
      <c r="AM104" s="14"/>
      <c r="AN104" s="14" t="s">
        <v>49</v>
      </c>
      <c r="AO104" s="14"/>
      <c r="AP104" s="14"/>
      <c r="AQ104" s="14"/>
      <c r="AR104" s="14" t="s">
        <v>49</v>
      </c>
      <c r="AS104" s="14" t="s">
        <v>49</v>
      </c>
      <c r="AT104" s="14" t="s">
        <v>49</v>
      </c>
      <c r="AU104" s="14"/>
      <c r="AV104" s="14"/>
      <c r="AW104" s="14"/>
      <c r="AX104" s="14"/>
      <c r="AY104" s="14"/>
      <c r="AZ104" s="14"/>
      <c r="BA104" s="14" t="s">
        <v>49</v>
      </c>
      <c r="BB104" s="9" t="s">
        <v>51</v>
      </c>
    </row>
    <row r="105" spans="1:54" s="32" customFormat="1" ht="24.75" customHeight="1" x14ac:dyDescent="0.15">
      <c r="A105" s="32">
        <v>101</v>
      </c>
      <c r="B105" s="14" t="str">
        <f t="shared" si="9"/>
        <v>天草</v>
      </c>
      <c r="C105" s="9" t="str">
        <f>"天草病院"</f>
        <v>天草病院</v>
      </c>
      <c r="D105" s="22" t="str">
        <f>"863-2171"</f>
        <v>863-2171</v>
      </c>
      <c r="E105" s="9" t="s">
        <v>204</v>
      </c>
      <c r="F105" s="23">
        <v>969236111</v>
      </c>
      <c r="G105" s="9" t="str">
        <f>"医療法人　天草病院"</f>
        <v>医療法人　天草病院</v>
      </c>
      <c r="H105" s="24">
        <v>20740</v>
      </c>
      <c r="I105" s="18" t="s">
        <v>112</v>
      </c>
      <c r="J105" s="10">
        <f t="shared" si="8"/>
        <v>437</v>
      </c>
      <c r="K105" s="25">
        <v>0</v>
      </c>
      <c r="L105" s="25">
        <v>0</v>
      </c>
      <c r="M105" s="25">
        <v>437</v>
      </c>
      <c r="N105" s="25">
        <v>0</v>
      </c>
      <c r="O105" s="25">
        <v>0</v>
      </c>
      <c r="P105" s="14" t="s">
        <v>232</v>
      </c>
      <c r="Q105" s="14"/>
      <c r="R105" s="14"/>
      <c r="S105" s="14"/>
      <c r="T105" s="14"/>
      <c r="U105" s="14"/>
      <c r="V105" s="14" t="s">
        <v>232</v>
      </c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 t="s">
        <v>49</v>
      </c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9"/>
    </row>
    <row r="106" spans="1:54" s="32" customFormat="1" ht="24.75" customHeight="1" x14ac:dyDescent="0.15">
      <c r="A106" s="32">
        <v>102</v>
      </c>
      <c r="B106" s="14" t="str">
        <f t="shared" si="9"/>
        <v>天草</v>
      </c>
      <c r="C106" s="9" t="str">
        <f>"うしぶか心愛病院"</f>
        <v>うしぶか心愛病院</v>
      </c>
      <c r="D106" s="22" t="str">
        <f>"863-1432"</f>
        <v>863-1432</v>
      </c>
      <c r="E106" s="9" t="s">
        <v>205</v>
      </c>
      <c r="F106" s="23">
        <v>969729553</v>
      </c>
      <c r="G106" s="9" t="str">
        <f>"医療法人　木下会"</f>
        <v>医療法人　木下会</v>
      </c>
      <c r="H106" s="24">
        <v>35247</v>
      </c>
      <c r="I106" s="18" t="s">
        <v>112</v>
      </c>
      <c r="J106" s="10">
        <f t="shared" si="8"/>
        <v>120</v>
      </c>
      <c r="K106" s="25">
        <v>0</v>
      </c>
      <c r="L106" s="25">
        <v>0</v>
      </c>
      <c r="M106" s="25">
        <v>120</v>
      </c>
      <c r="N106" s="25">
        <v>0</v>
      </c>
      <c r="O106" s="25">
        <v>0</v>
      </c>
      <c r="P106" s="14"/>
      <c r="Q106" s="14"/>
      <c r="R106" s="14"/>
      <c r="S106" s="14"/>
      <c r="T106" s="14"/>
      <c r="U106" s="14"/>
      <c r="V106" s="14" t="s">
        <v>232</v>
      </c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9"/>
    </row>
    <row r="107" spans="1:54" s="32" customFormat="1" ht="34.5" customHeight="1" x14ac:dyDescent="0.15">
      <c r="A107" s="32">
        <v>103</v>
      </c>
      <c r="B107" s="14" t="str">
        <f t="shared" si="9"/>
        <v>天草</v>
      </c>
      <c r="C107" s="9" t="str">
        <f>"上天草総合病院"</f>
        <v>上天草総合病院</v>
      </c>
      <c r="D107" s="22" t="str">
        <f>"866-0202"</f>
        <v>866-0202</v>
      </c>
      <c r="E107" s="9" t="s">
        <v>206</v>
      </c>
      <c r="F107" s="23">
        <v>969621122</v>
      </c>
      <c r="G107" s="9" t="str">
        <f>"上天草市"</f>
        <v>上天草市</v>
      </c>
      <c r="H107" s="24">
        <v>38077</v>
      </c>
      <c r="I107" s="18" t="s">
        <v>112</v>
      </c>
      <c r="J107" s="10">
        <f t="shared" si="8"/>
        <v>195</v>
      </c>
      <c r="K107" s="25">
        <v>149</v>
      </c>
      <c r="L107" s="25">
        <v>46</v>
      </c>
      <c r="M107" s="25">
        <v>0</v>
      </c>
      <c r="N107" s="25">
        <v>0</v>
      </c>
      <c r="O107" s="25">
        <v>0</v>
      </c>
      <c r="P107" s="14" t="s">
        <v>232</v>
      </c>
      <c r="Q107" s="14"/>
      <c r="R107" s="14"/>
      <c r="S107" s="14"/>
      <c r="T107" s="14"/>
      <c r="U107" s="14" t="s">
        <v>49</v>
      </c>
      <c r="V107" s="14" t="s">
        <v>232</v>
      </c>
      <c r="W107" s="14"/>
      <c r="X107" s="14" t="s">
        <v>49</v>
      </c>
      <c r="Y107" s="14" t="s">
        <v>49</v>
      </c>
      <c r="Z107" s="14" t="s">
        <v>49</v>
      </c>
      <c r="AA107" s="14"/>
      <c r="AB107" s="14"/>
      <c r="AC107" s="14"/>
      <c r="AD107" s="14"/>
      <c r="AE107" s="14"/>
      <c r="AF107" s="14"/>
      <c r="AG107" s="14" t="s">
        <v>49</v>
      </c>
      <c r="AH107" s="14"/>
      <c r="AI107" s="14"/>
      <c r="AJ107" s="14" t="s">
        <v>49</v>
      </c>
      <c r="AK107" s="14" t="s">
        <v>49</v>
      </c>
      <c r="AL107" s="14"/>
      <c r="AM107" s="14"/>
      <c r="AN107" s="14" t="s">
        <v>49</v>
      </c>
      <c r="AO107" s="14" t="s">
        <v>49</v>
      </c>
      <c r="AP107" s="14"/>
      <c r="AQ107" s="14"/>
      <c r="AR107" s="14" t="s">
        <v>49</v>
      </c>
      <c r="AS107" s="14" t="s">
        <v>49</v>
      </c>
      <c r="AT107" s="14" t="s">
        <v>49</v>
      </c>
      <c r="AU107" s="14"/>
      <c r="AV107" s="14" t="s">
        <v>49</v>
      </c>
      <c r="AW107" s="14"/>
      <c r="AX107" s="14" t="s">
        <v>49</v>
      </c>
      <c r="AY107" s="14"/>
      <c r="AZ107" s="14"/>
      <c r="BA107" s="14" t="s">
        <v>49</v>
      </c>
      <c r="BB107" s="9" t="s">
        <v>207</v>
      </c>
    </row>
    <row r="108" spans="1:54" s="32" customFormat="1" ht="24.75" customHeight="1" x14ac:dyDescent="0.15">
      <c r="A108" s="32">
        <v>104</v>
      </c>
      <c r="B108" s="14" t="str">
        <f t="shared" si="9"/>
        <v>天草</v>
      </c>
      <c r="C108" s="9" t="str">
        <f>"酒井病院"</f>
        <v>酒井病院</v>
      </c>
      <c r="D108" s="22" t="str">
        <f>"863-0006"</f>
        <v>863-0006</v>
      </c>
      <c r="E108" s="9" t="s">
        <v>208</v>
      </c>
      <c r="F108" s="23">
        <v>969224181</v>
      </c>
      <c r="G108" s="9" t="str">
        <f>"医療法人　啓正会"</f>
        <v>医療法人　啓正会</v>
      </c>
      <c r="H108" s="24">
        <v>26176</v>
      </c>
      <c r="I108" s="18" t="s">
        <v>112</v>
      </c>
      <c r="J108" s="10">
        <f t="shared" si="8"/>
        <v>140</v>
      </c>
      <c r="K108" s="25">
        <v>0</v>
      </c>
      <c r="L108" s="25">
        <v>0</v>
      </c>
      <c r="M108" s="25">
        <v>140</v>
      </c>
      <c r="N108" s="25">
        <v>0</v>
      </c>
      <c r="O108" s="25">
        <v>0</v>
      </c>
      <c r="P108" s="14"/>
      <c r="Q108" s="14"/>
      <c r="R108" s="14"/>
      <c r="S108" s="14"/>
      <c r="T108" s="14"/>
      <c r="U108" s="14"/>
      <c r="V108" s="14" t="s">
        <v>232</v>
      </c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9"/>
    </row>
    <row r="109" spans="1:54" s="32" customFormat="1" ht="24.75" customHeight="1" x14ac:dyDescent="0.15">
      <c r="A109" s="32">
        <v>105</v>
      </c>
      <c r="B109" s="14" t="str">
        <f t="shared" si="9"/>
        <v>天草</v>
      </c>
      <c r="C109" s="9" t="str">
        <f>"ニュー天草病院"</f>
        <v>ニュー天草病院</v>
      </c>
      <c r="D109" s="22" t="str">
        <f>"863-0032"</f>
        <v>863-0032</v>
      </c>
      <c r="E109" s="9" t="s">
        <v>209</v>
      </c>
      <c r="F109" s="23">
        <v>969223191</v>
      </c>
      <c r="G109" s="9" t="str">
        <f>"医療法人　永輝会"</f>
        <v>医療法人　永輝会</v>
      </c>
      <c r="H109" s="24">
        <v>37196</v>
      </c>
      <c r="I109" s="18" t="s">
        <v>112</v>
      </c>
      <c r="J109" s="10">
        <f t="shared" si="8"/>
        <v>132</v>
      </c>
      <c r="K109" s="25">
        <v>0</v>
      </c>
      <c r="L109" s="25">
        <v>132</v>
      </c>
      <c r="M109" s="25">
        <v>0</v>
      </c>
      <c r="N109" s="25">
        <v>0</v>
      </c>
      <c r="O109" s="25">
        <v>0</v>
      </c>
      <c r="P109" s="14" t="s">
        <v>232</v>
      </c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 t="s">
        <v>49</v>
      </c>
      <c r="AS109" s="14"/>
      <c r="AT109" s="14"/>
      <c r="AU109" s="14"/>
      <c r="AV109" s="14"/>
      <c r="AW109" s="14"/>
      <c r="AX109" s="14"/>
      <c r="AY109" s="14"/>
      <c r="AZ109" s="14"/>
      <c r="BA109" s="14"/>
      <c r="BB109" s="9" t="s">
        <v>210</v>
      </c>
    </row>
    <row r="110" spans="1:54" s="32" customFormat="1" ht="24.75" customHeight="1" x14ac:dyDescent="0.15">
      <c r="A110" s="32">
        <v>106</v>
      </c>
      <c r="B110" s="14" t="str">
        <f t="shared" si="9"/>
        <v>天草</v>
      </c>
      <c r="C110" s="9" t="str">
        <f>"福本病院"</f>
        <v>福本病院</v>
      </c>
      <c r="D110" s="22" t="str">
        <f>"863-1901"</f>
        <v>863-1901</v>
      </c>
      <c r="E110" s="9" t="s">
        <v>211</v>
      </c>
      <c r="F110" s="23">
        <v>969733131</v>
      </c>
      <c r="G110" s="9" t="str">
        <f>"医療法人社団　福本会"</f>
        <v>医療法人社団　福本会</v>
      </c>
      <c r="H110" s="24">
        <v>36800</v>
      </c>
      <c r="I110" s="18" t="s">
        <v>112</v>
      </c>
      <c r="J110" s="10">
        <f t="shared" si="8"/>
        <v>35</v>
      </c>
      <c r="K110" s="25">
        <v>0</v>
      </c>
      <c r="L110" s="25">
        <v>35</v>
      </c>
      <c r="M110" s="25">
        <v>0</v>
      </c>
      <c r="N110" s="25">
        <v>0</v>
      </c>
      <c r="O110" s="25">
        <v>0</v>
      </c>
      <c r="P110" s="14" t="s">
        <v>232</v>
      </c>
      <c r="Q110" s="14"/>
      <c r="R110" s="14"/>
      <c r="S110" s="14" t="s">
        <v>49</v>
      </c>
      <c r="T110" s="14" t="s">
        <v>49</v>
      </c>
      <c r="U110" s="14"/>
      <c r="V110" s="14"/>
      <c r="W110" s="14"/>
      <c r="X110" s="14" t="s">
        <v>49</v>
      </c>
      <c r="Y110" s="14"/>
      <c r="Z110" s="14" t="s">
        <v>49</v>
      </c>
      <c r="AA110" s="14"/>
      <c r="AB110" s="14"/>
      <c r="AC110" s="14"/>
      <c r="AD110" s="14"/>
      <c r="AE110" s="14"/>
      <c r="AF110" s="14"/>
      <c r="AG110" s="14"/>
      <c r="AH110" s="14"/>
      <c r="AI110" s="14"/>
      <c r="AJ110" s="14" t="s">
        <v>49</v>
      </c>
      <c r="AK110" s="14"/>
      <c r="AL110" s="14"/>
      <c r="AM110" s="14"/>
      <c r="AN110" s="14"/>
      <c r="AO110" s="14"/>
      <c r="AP110" s="14"/>
      <c r="AQ110" s="14"/>
      <c r="AR110" s="14" t="s">
        <v>49</v>
      </c>
      <c r="AS110" s="14"/>
      <c r="AT110" s="14"/>
      <c r="AU110" s="14"/>
      <c r="AV110" s="14"/>
      <c r="AW110" s="14" t="s">
        <v>49</v>
      </c>
      <c r="AX110" s="14"/>
      <c r="AY110" s="14"/>
      <c r="AZ110" s="14"/>
      <c r="BA110" s="14"/>
      <c r="BB110" s="9"/>
    </row>
    <row r="111" spans="1:54" s="32" customFormat="1" ht="24.75" customHeight="1" x14ac:dyDescent="0.15">
      <c r="A111" s="32">
        <v>107</v>
      </c>
      <c r="B111" s="14" t="str">
        <f t="shared" si="9"/>
        <v>天草</v>
      </c>
      <c r="C111" s="9" t="str">
        <f>"天草郡市医師会立　苓北医師会病院"</f>
        <v>天草郡市医師会立　苓北医師会病院</v>
      </c>
      <c r="D111" s="22" t="str">
        <f>"863-2507"</f>
        <v>863-2507</v>
      </c>
      <c r="E111" s="9" t="s">
        <v>212</v>
      </c>
      <c r="F111" s="23">
        <v>969351133</v>
      </c>
      <c r="G111" s="9" t="str">
        <f>"一般社団法人　天草郡市医師会"</f>
        <v>一般社団法人　天草郡市医師会</v>
      </c>
      <c r="H111" s="24">
        <v>24243</v>
      </c>
      <c r="I111" s="18" t="s">
        <v>112</v>
      </c>
      <c r="J111" s="10">
        <f t="shared" si="8"/>
        <v>50</v>
      </c>
      <c r="K111" s="25">
        <v>40</v>
      </c>
      <c r="L111" s="25">
        <v>10</v>
      </c>
      <c r="M111" s="25">
        <v>0</v>
      </c>
      <c r="N111" s="25">
        <v>0</v>
      </c>
      <c r="O111" s="25">
        <v>0</v>
      </c>
      <c r="P111" s="14" t="s">
        <v>232</v>
      </c>
      <c r="Q111" s="14"/>
      <c r="R111" s="14"/>
      <c r="S111" s="14"/>
      <c r="T111" s="14"/>
      <c r="U111" s="14" t="s">
        <v>49</v>
      </c>
      <c r="V111" s="14"/>
      <c r="W111" s="14"/>
      <c r="X111" s="14"/>
      <c r="Y111" s="14" t="s">
        <v>49</v>
      </c>
      <c r="Z111" s="14" t="s">
        <v>49</v>
      </c>
      <c r="AA111" s="14"/>
      <c r="AB111" s="14"/>
      <c r="AC111" s="14"/>
      <c r="AD111" s="14"/>
      <c r="AE111" s="14"/>
      <c r="AF111" s="14"/>
      <c r="AG111" s="14"/>
      <c r="AH111" s="14"/>
      <c r="AI111" s="14" t="s">
        <v>49</v>
      </c>
      <c r="AJ111" s="14" t="s">
        <v>49</v>
      </c>
      <c r="AK111" s="14"/>
      <c r="AL111" s="14"/>
      <c r="AM111" s="14"/>
      <c r="AN111" s="14"/>
      <c r="AO111" s="14"/>
      <c r="AP111" s="14"/>
      <c r="AQ111" s="14"/>
      <c r="AR111" s="14" t="s">
        <v>49</v>
      </c>
      <c r="AS111" s="14"/>
      <c r="AT111" s="14"/>
      <c r="AU111" s="14"/>
      <c r="AV111" s="14"/>
      <c r="AW111" s="14"/>
      <c r="AX111" s="14"/>
      <c r="AY111" s="14"/>
      <c r="AZ111" s="14"/>
      <c r="BA111" s="14"/>
      <c r="BB111" s="9"/>
    </row>
    <row r="112" spans="1:54" s="32" customFormat="1" ht="24.75" customHeight="1" x14ac:dyDescent="0.15">
      <c r="A112" s="32">
        <v>108</v>
      </c>
      <c r="B112" s="14" t="str">
        <f t="shared" si="9"/>
        <v>天草</v>
      </c>
      <c r="C112" s="9" t="str">
        <f>"天草市立　牛深市民病院"</f>
        <v>天草市立　牛深市民病院</v>
      </c>
      <c r="D112" s="22" t="str">
        <f>"863-1901"</f>
        <v>863-1901</v>
      </c>
      <c r="E112" s="9" t="s">
        <v>213</v>
      </c>
      <c r="F112" s="23">
        <v>969734171</v>
      </c>
      <c r="G112" s="9" t="str">
        <f>"天草市"</f>
        <v>天草市</v>
      </c>
      <c r="H112" s="24">
        <v>38803</v>
      </c>
      <c r="I112" s="18" t="s">
        <v>112</v>
      </c>
      <c r="J112" s="10">
        <f t="shared" si="8"/>
        <v>118</v>
      </c>
      <c r="K112" s="25">
        <v>85</v>
      </c>
      <c r="L112" s="25">
        <v>33</v>
      </c>
      <c r="M112" s="25">
        <v>0</v>
      </c>
      <c r="N112" s="25">
        <v>0</v>
      </c>
      <c r="O112" s="25">
        <v>0</v>
      </c>
      <c r="P112" s="14" t="s">
        <v>232</v>
      </c>
      <c r="Q112" s="14"/>
      <c r="R112" s="14"/>
      <c r="S112" s="14"/>
      <c r="T112" s="14"/>
      <c r="U112" s="14" t="s">
        <v>49</v>
      </c>
      <c r="V112" s="14"/>
      <c r="W112" s="14"/>
      <c r="X112" s="14"/>
      <c r="Y112" s="14" t="s">
        <v>49</v>
      </c>
      <c r="Z112" s="14" t="s">
        <v>49</v>
      </c>
      <c r="AA112" s="14"/>
      <c r="AB112" s="14"/>
      <c r="AC112" s="14"/>
      <c r="AD112" s="14"/>
      <c r="AE112" s="14"/>
      <c r="AF112" s="14"/>
      <c r="AG112" s="14" t="s">
        <v>49</v>
      </c>
      <c r="AH112" s="14"/>
      <c r="AI112" s="14"/>
      <c r="AJ112" s="14" t="s">
        <v>49</v>
      </c>
      <c r="AK112" s="14" t="s">
        <v>49</v>
      </c>
      <c r="AL112" s="14"/>
      <c r="AM112" s="14"/>
      <c r="AN112" s="14"/>
      <c r="AO112" s="14"/>
      <c r="AP112" s="14"/>
      <c r="AQ112" s="14"/>
      <c r="AR112" s="14" t="s">
        <v>49</v>
      </c>
      <c r="AS112" s="14"/>
      <c r="AT112" s="14"/>
      <c r="AU112" s="14"/>
      <c r="AV112" s="14"/>
      <c r="AW112" s="14"/>
      <c r="AX112" s="14"/>
      <c r="AY112" s="14"/>
      <c r="AZ112" s="14"/>
      <c r="BA112" s="14"/>
      <c r="BB112" s="9" t="s">
        <v>121</v>
      </c>
    </row>
    <row r="113" spans="1:54" s="32" customFormat="1" ht="24.75" customHeight="1" x14ac:dyDescent="0.15">
      <c r="A113" s="32">
        <v>109</v>
      </c>
      <c r="B113" s="14" t="str">
        <f t="shared" si="9"/>
        <v>天草</v>
      </c>
      <c r="C113" s="9" t="str">
        <f>"国民健康保険　天草市立　新和病院"</f>
        <v>国民健康保険　天草市立　新和病院</v>
      </c>
      <c r="D113" s="22" t="str">
        <f>"863-0101"</f>
        <v>863-0101</v>
      </c>
      <c r="E113" s="9" t="s">
        <v>214</v>
      </c>
      <c r="F113" s="23">
        <v>969462003</v>
      </c>
      <c r="G113" s="9" t="str">
        <f>"天草市"</f>
        <v>天草市</v>
      </c>
      <c r="H113" s="24">
        <v>38803</v>
      </c>
      <c r="I113" s="18" t="s">
        <v>112</v>
      </c>
      <c r="J113" s="10">
        <f t="shared" si="8"/>
        <v>30</v>
      </c>
      <c r="K113" s="25">
        <v>30</v>
      </c>
      <c r="L113" s="25">
        <v>0</v>
      </c>
      <c r="M113" s="25">
        <v>0</v>
      </c>
      <c r="N113" s="25">
        <v>0</v>
      </c>
      <c r="O113" s="25">
        <v>0</v>
      </c>
      <c r="P113" s="14" t="s">
        <v>232</v>
      </c>
      <c r="Q113" s="14"/>
      <c r="R113" s="14"/>
      <c r="S113" s="14"/>
      <c r="T113" s="14"/>
      <c r="U113" s="14"/>
      <c r="V113" s="14"/>
      <c r="W113" s="14"/>
      <c r="X113" s="14"/>
      <c r="Y113" s="14"/>
      <c r="Z113" s="14" t="s">
        <v>49</v>
      </c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 t="s">
        <v>49</v>
      </c>
      <c r="AS113" s="14"/>
      <c r="AT113" s="14"/>
      <c r="AU113" s="14"/>
      <c r="AV113" s="14"/>
      <c r="AW113" s="14"/>
      <c r="AX113" s="14"/>
      <c r="AY113" s="14"/>
      <c r="AZ113" s="14"/>
      <c r="BA113" s="14"/>
      <c r="BB113" s="9" t="s">
        <v>119</v>
      </c>
    </row>
    <row r="114" spans="1:54" s="32" customFormat="1" ht="24.75" customHeight="1" x14ac:dyDescent="0.15">
      <c r="A114" s="32">
        <v>110</v>
      </c>
      <c r="B114" s="14" t="str">
        <f t="shared" si="9"/>
        <v>天草</v>
      </c>
      <c r="C114" s="9" t="str">
        <f>"天草市立　栖本病院"</f>
        <v>天草市立　栖本病院</v>
      </c>
      <c r="D114" s="22" t="str">
        <f>"861-6303"</f>
        <v>861-6303</v>
      </c>
      <c r="E114" s="9" t="s">
        <v>215</v>
      </c>
      <c r="F114" s="23">
        <v>969662165</v>
      </c>
      <c r="G114" s="9" t="str">
        <f>"天草市"</f>
        <v>天草市</v>
      </c>
      <c r="H114" s="24">
        <v>38803</v>
      </c>
      <c r="I114" s="18" t="s">
        <v>112</v>
      </c>
      <c r="J114" s="10">
        <f t="shared" si="8"/>
        <v>44</v>
      </c>
      <c r="K114" s="25">
        <v>24</v>
      </c>
      <c r="L114" s="25">
        <v>0</v>
      </c>
      <c r="M114" s="25">
        <v>0</v>
      </c>
      <c r="N114" s="25">
        <v>20</v>
      </c>
      <c r="O114" s="25">
        <v>0</v>
      </c>
      <c r="P114" s="14" t="s">
        <v>232</v>
      </c>
      <c r="Q114" s="14"/>
      <c r="R114" s="14"/>
      <c r="S114" s="14"/>
      <c r="T114" s="14"/>
      <c r="U114" s="14"/>
      <c r="V114" s="14"/>
      <c r="W114" s="14"/>
      <c r="X114" s="14"/>
      <c r="Y114" s="14"/>
      <c r="Z114" s="26" t="s">
        <v>49</v>
      </c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9" t="s">
        <v>216</v>
      </c>
    </row>
    <row r="115" spans="1:54" s="32" customFormat="1" ht="24.75" customHeight="1" x14ac:dyDescent="0.15">
      <c r="A115" s="32">
        <v>111</v>
      </c>
      <c r="B115" s="14" t="str">
        <f t="shared" si="9"/>
        <v>天草</v>
      </c>
      <c r="C115" s="9" t="str">
        <f>"国民健康保険　天草市立　河浦病院"</f>
        <v>国民健康保険　天草市立　河浦病院</v>
      </c>
      <c r="D115" s="22" t="str">
        <f>"863-1215"</f>
        <v>863-1215</v>
      </c>
      <c r="E115" s="9" t="s">
        <v>217</v>
      </c>
      <c r="F115" s="23">
        <v>969761151</v>
      </c>
      <c r="G115" s="9" t="str">
        <f>"天草市"</f>
        <v>天草市</v>
      </c>
      <c r="H115" s="24">
        <v>38803</v>
      </c>
      <c r="I115" s="18" t="s">
        <v>112</v>
      </c>
      <c r="J115" s="10">
        <f t="shared" si="8"/>
        <v>66</v>
      </c>
      <c r="K115" s="25">
        <v>26</v>
      </c>
      <c r="L115" s="25">
        <v>40</v>
      </c>
      <c r="M115" s="25">
        <v>0</v>
      </c>
      <c r="N115" s="25">
        <v>0</v>
      </c>
      <c r="O115" s="25">
        <v>0</v>
      </c>
      <c r="P115" s="14" t="s">
        <v>232</v>
      </c>
      <c r="Q115" s="14"/>
      <c r="R115" s="14"/>
      <c r="S115" s="14"/>
      <c r="T115" s="14"/>
      <c r="U115" s="14" t="s">
        <v>49</v>
      </c>
      <c r="V115" s="14"/>
      <c r="W115" s="14"/>
      <c r="X115" s="14"/>
      <c r="Y115" s="14" t="s">
        <v>49</v>
      </c>
      <c r="Z115" s="14" t="s">
        <v>49</v>
      </c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 t="s">
        <v>49</v>
      </c>
      <c r="AS115" s="14"/>
      <c r="AT115" s="14"/>
      <c r="AU115" s="14"/>
      <c r="AV115" s="14"/>
      <c r="AW115" s="14"/>
      <c r="AX115" s="14"/>
      <c r="AY115" s="14"/>
      <c r="AZ115" s="14"/>
      <c r="BA115" s="14"/>
      <c r="BB115" s="9"/>
    </row>
    <row r="116" spans="1:54" s="32" customFormat="1" ht="24.75" customHeight="1" x14ac:dyDescent="0.15">
      <c r="A116" s="32">
        <v>112</v>
      </c>
      <c r="B116" s="14" t="str">
        <f t="shared" si="9"/>
        <v>天草</v>
      </c>
      <c r="C116" s="9" t="str">
        <f>"重症心身障害児施設はまゆう療育園"</f>
        <v>重症心身障害児施設はまゆう療育園</v>
      </c>
      <c r="D116" s="22" t="str">
        <f>"863-2503"</f>
        <v>863-2503</v>
      </c>
      <c r="E116" s="9" t="s">
        <v>218</v>
      </c>
      <c r="F116" s="23">
        <v>969351258</v>
      </c>
      <c r="G116" s="9" t="str">
        <f>"社会福祉法人　慈永会"</f>
        <v>社会福祉法人　慈永会</v>
      </c>
      <c r="H116" s="24">
        <v>43983</v>
      </c>
      <c r="I116" s="18" t="s">
        <v>112</v>
      </c>
      <c r="J116" s="10">
        <f t="shared" si="8"/>
        <v>170</v>
      </c>
      <c r="K116" s="25">
        <v>110</v>
      </c>
      <c r="L116" s="25">
        <v>60</v>
      </c>
      <c r="M116" s="25">
        <v>0</v>
      </c>
      <c r="N116" s="25">
        <v>0</v>
      </c>
      <c r="O116" s="25">
        <v>0</v>
      </c>
      <c r="P116" s="14" t="s">
        <v>232</v>
      </c>
      <c r="Q116" s="14"/>
      <c r="R116" s="14"/>
      <c r="S116" s="14"/>
      <c r="T116" s="14"/>
      <c r="U116" s="14" t="s">
        <v>49</v>
      </c>
      <c r="V116" s="14" t="s">
        <v>232</v>
      </c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9"/>
    </row>
  </sheetData>
  <autoFilter ref="B4:BB4"/>
  <mergeCells count="54">
    <mergeCell ref="B1:E1"/>
    <mergeCell ref="B2:B4"/>
    <mergeCell ref="C2:C4"/>
    <mergeCell ref="G2:G4"/>
    <mergeCell ref="D2:D4"/>
    <mergeCell ref="F2:F4"/>
    <mergeCell ref="E2:E4"/>
    <mergeCell ref="S2:S4"/>
    <mergeCell ref="R2:R4"/>
    <mergeCell ref="Q2:Q4"/>
    <mergeCell ref="H2:H4"/>
    <mergeCell ref="P2:P4"/>
    <mergeCell ref="I2:I4"/>
    <mergeCell ref="J2:J4"/>
    <mergeCell ref="K3:K4"/>
    <mergeCell ref="L3:L4"/>
    <mergeCell ref="O3:O4"/>
    <mergeCell ref="M3:M4"/>
    <mergeCell ref="N3:N4"/>
    <mergeCell ref="T2:T4"/>
    <mergeCell ref="X2:X4"/>
    <mergeCell ref="Z2:Z4"/>
    <mergeCell ref="Y2:Y4"/>
    <mergeCell ref="AD2:AD4"/>
    <mergeCell ref="AC2:AC4"/>
    <mergeCell ref="AB2:AB4"/>
    <mergeCell ref="AA2:AA4"/>
    <mergeCell ref="W2:W4"/>
    <mergeCell ref="V2:V4"/>
    <mergeCell ref="U2:U4"/>
    <mergeCell ref="BB2:BB4"/>
    <mergeCell ref="BA2:BA4"/>
    <mergeCell ref="AZ2:AZ4"/>
    <mergeCell ref="AY2:AY4"/>
    <mergeCell ref="AX2:AX4"/>
    <mergeCell ref="AW2:AW4"/>
    <mergeCell ref="AJ2:AJ4"/>
    <mergeCell ref="AT2:AT4"/>
    <mergeCell ref="AS2:AS4"/>
    <mergeCell ref="AV2:AV4"/>
    <mergeCell ref="AU2:AU4"/>
    <mergeCell ref="AK2:AK4"/>
    <mergeCell ref="AP2:AP4"/>
    <mergeCell ref="AO2:AO4"/>
    <mergeCell ref="AN2:AN4"/>
    <mergeCell ref="AM2:AM4"/>
    <mergeCell ref="AL2:AL4"/>
    <mergeCell ref="AH2:AH4"/>
    <mergeCell ref="AF2:AF4"/>
    <mergeCell ref="AE2:AE4"/>
    <mergeCell ref="AR2:AR4"/>
    <mergeCell ref="AQ2:AQ4"/>
    <mergeCell ref="AI2:AI4"/>
    <mergeCell ref="AG2:AG4"/>
  </mergeCells>
  <phoneticPr fontId="1"/>
  <pageMargins left="0.23622047244094491" right="0.23622047244094491" top="0.74803149606299213" bottom="0.35433070866141736" header="0.31496062992125984" footer="0.31496062992125984"/>
  <pageSetup paperSize="9" scale="43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台帳!Print_Titles</vt:lpstr>
      <vt:lpstr>台帳!診療所台帳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1650484</cp:lastModifiedBy>
  <cp:lastPrinted>2023-04-24T04:36:46Z</cp:lastPrinted>
  <dcterms:created xsi:type="dcterms:W3CDTF">2007-01-29T02:12:45Z</dcterms:created>
  <dcterms:modified xsi:type="dcterms:W3CDTF">2023-04-24T04:36:55Z</dcterms:modified>
</cp:coreProperties>
</file>